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Карта modbus" sheetId="1" r:id="rId1"/>
    <sheet name="Порты" sheetId="2" r:id="rId2"/>
    <sheet name="Общее" sheetId="3" r:id="rId3"/>
    <sheet name="SPLIT" sheetId="4" state="hidden" r:id="rId4"/>
    <sheet name="файл map" sheetId="5" state="hidden" r:id="rId5"/>
  </sheets>
  <definedNames/>
  <calcPr calcId="162913"/>
</workbook>
</file>

<file path=xl/sharedStrings.xml><?xml version="1.0" encoding="utf-8"?>
<sst xmlns="http://schemas.openxmlformats.org/spreadsheetml/2006/main" count="246" uniqueCount="226">
  <si>
    <t>Адрес
Dec</t>
  </si>
  <si>
    <t>В прошивке используются 2 типа регистров: выходные Input Reg  доступны только для чтения (функция 4), входные Holding Reg  – для записи (функция 6 или 16) и чтения записанного значения (функция 3).</t>
  </si>
  <si>
    <t>Параметры COM1 (RS485)</t>
  </si>
  <si>
    <t>Тип</t>
  </si>
  <si>
    <t>Протокол</t>
  </si>
  <si>
    <t>Modbus RTU</t>
  </si>
  <si>
    <t>Адрес</t>
  </si>
  <si>
    <t>Master</t>
  </si>
  <si>
    <t>Скорость</t>
  </si>
  <si>
    <t>Биты данных</t>
  </si>
  <si>
    <t>Четность</t>
  </si>
  <si>
    <t>Особо стоит отметить доступ к ячейкам памяти (например, к сохраненным уставкам), поскольку в ПЛК Segnetics доступ к ним напрямую по Modbus невозможен. Поэтому для чтения и записи используются разные регистры, которые находятся в разных областях памяти. При этом они могут иметь одинаковый адрес, но функции доступа к регистрам отличаются. Так, для чтения сохраненного значения следует обращаться к регистрам Input Reg, используя функцию 04, а для записи –  Holding Reg, используя функцию 06 или 16.</t>
  </si>
  <si>
    <t>Имя переменной</t>
  </si>
  <si>
    <t>Комментарий</t>
  </si>
  <si>
    <t>Визуально доступ к ячейке памяти выглядит так:</t>
  </si>
  <si>
    <t>Holding Reg (RW) –&gt; ЯЧЕЙКА ПАМЯТИ –&gt; Input Reg (RO)</t>
  </si>
  <si>
    <t>Input registers (чтение - 04)</t>
  </si>
  <si>
    <t>None</t>
  </si>
  <si>
    <t>Стоповые биты</t>
  </si>
  <si>
    <t>Параметры COM2 (RS232)</t>
  </si>
  <si>
    <r>
      <rPr>
        <b/>
        <sz val="10"/>
        <rFont val="Arial"/>
        <family val="2"/>
      </rPr>
      <t>Важно</t>
    </r>
    <r>
      <rPr>
        <sz val="10"/>
        <color rgb="FF000000"/>
        <rFont val="Arial"/>
        <family val="2"/>
      </rPr>
      <t xml:space="preserve">. Изменение значения в ячейке памяти по Modbus возможно только тогда, когда изменяется значение в соответствующем ей регистре Holding Reg. </t>
    </r>
  </si>
  <si>
    <t>Все Holding Reg после перезагрузки равны 0, в процессе работы – последнему записанному в них значению.</t>
  </si>
  <si>
    <r>
      <rPr>
        <b/>
        <sz val="10"/>
        <rFont val="Arial"/>
        <family val="2"/>
      </rPr>
      <t>Например:</t>
    </r>
    <r>
      <rPr>
        <sz val="10"/>
        <color rgb="FF000000"/>
        <rFont val="Arial"/>
        <family val="2"/>
      </rPr>
      <t xml:space="preserve"> После перезагрузки ПЛК в ячейке памяти хранится значение 1, которое можно прочитать из соответствующего ей регистра Input Reg, но значение в соответствующем ей регистре Holding Reg равно 0. Чтобы записать в ячейку памяти 0, рекомендуется сначала записать в регистр Holding Reg значение из регистра Input Reg, а затем уже нужное значение, т.е 0.</t>
    </r>
  </si>
  <si>
    <t>Регистры типа float и long требуют перестановки байт вида ABCD ↔ CDAB, где A,B,C,D – байты.</t>
  </si>
  <si>
    <t>Параметры Ethernet</t>
  </si>
  <si>
    <t>Modbus TCP</t>
  </si>
  <si>
    <t>IP Адрес</t>
  </si>
  <si>
    <t>192.168.0.213</t>
  </si>
  <si>
    <t>Маска подсети</t>
  </si>
  <si>
    <t>255.255.255.0</t>
  </si>
  <si>
    <t>Шлюз</t>
  </si>
  <si>
    <t>192.168.0.1</t>
  </si>
  <si>
    <t>Порт TCP</t>
  </si>
  <si>
    <t>Тег
№</t>
  </si>
  <si>
    <t>Адрес
Hex</t>
  </si>
  <si>
    <t>;Direction</t>
  </si>
  <si>
    <t>- направление (read &amp; write)</t>
  </si>
  <si>
    <t>;Type</t>
  </si>
  <si>
    <t>- тип (битовые или регистровые)</t>
  </si>
  <si>
    <t>;Baudrate</t>
  </si>
  <si>
    <t>- скорость слэйва</t>
  </si>
  <si>
    <t>;Address</t>
  </si>
  <si>
    <t>- адрес слэйва в сети RS-485</t>
  </si>
  <si>
    <t>;var(0-n)</t>
  </si>
  <si>
    <t>- адрес#тип#символьное имя#комментарий</t>
  </si>
  <si>
    <t>[Request1]</t>
  </si>
  <si>
    <t>Direction=read/write</t>
  </si>
  <si>
    <t>Type=bit</t>
  </si>
  <si>
    <t>Baudrate=115200</t>
  </si>
  <si>
    <t>Address=1</t>
  </si>
  <si>
    <t>Period=100</t>
  </si>
  <si>
    <t>var0=0#bool#din0(МС)</t>
  </si>
  <si>
    <t>var1=1#bool#din1(МС)</t>
  </si>
  <si>
    <t>var2=2#bool#din2(МС)</t>
  </si>
  <si>
    <t>var3=3#bool#din3(МС)</t>
  </si>
  <si>
    <t>var4=4#bool#din4(МС)</t>
  </si>
  <si>
    <t>var5=5#bool#din5(МС)</t>
  </si>
  <si>
    <t>var6=6#bool#din6(МС)</t>
  </si>
  <si>
    <t>var7=7#bool#din7(МС)</t>
  </si>
  <si>
    <t>var8=8#bool#din8(МС)</t>
  </si>
  <si>
    <t>var9=9#bool#din0(MR1)</t>
  </si>
  <si>
    <t>var10=a#bool#din1(MR1)</t>
  </si>
  <si>
    <t>var11=b#bool#din2(MR1)</t>
  </si>
  <si>
    <t>var12=c#bool#din3(MR1)</t>
  </si>
  <si>
    <t>var13=d#bool#din4(MR1)</t>
  </si>
  <si>
    <t>var14=e#bool#din5(MR1)</t>
  </si>
  <si>
    <t>var15=f#bool#din6(MR1)</t>
  </si>
  <si>
    <t>var16=10#bool#din7(MR1)</t>
  </si>
  <si>
    <t>var17=11#bool#din8(MR1)</t>
  </si>
  <si>
    <t>var18=12#bool#din9(MR1)</t>
  </si>
  <si>
    <t>var19=13#bool#din10(MR1)</t>
  </si>
  <si>
    <t>var20=14#bool#din11(MR1)</t>
  </si>
  <si>
    <t>var21=15#bool#din0(MR3)</t>
  </si>
  <si>
    <t>var22=16#bool#din1(MR3)</t>
  </si>
  <si>
    <t>var23=17#bool#din2(MR3)</t>
  </si>
  <si>
    <t>var24=18#bool#din3(MR3)</t>
  </si>
  <si>
    <t>var25=19#bool#din4(MR3)</t>
  </si>
  <si>
    <t>var26=1a#bool#din5(MR3)</t>
  </si>
  <si>
    <t>var27=1b#bool#din6(MR3)</t>
  </si>
  <si>
    <t>var28=1c#bool#din7(MR3)</t>
  </si>
  <si>
    <t>var29=1d#bool#din8(MR3)</t>
  </si>
  <si>
    <t>var30=1e#bool#din9(MR3)</t>
  </si>
  <si>
    <t>var31=1f#bool#din10(MR3)</t>
  </si>
  <si>
    <t>var32=20#bool#din11(MR3)</t>
  </si>
  <si>
    <t>[Request2]</t>
  </si>
  <si>
    <t>Direction=read</t>
  </si>
  <si>
    <t>Type=reg</t>
  </si>
  <si>
    <t>var0=0#long#SN PLC#Серийный номер ПЛК</t>
  </si>
  <si>
    <t>var1=2#int#Version.Type#Версия ПО. Тип станции (1-КНС, 2-ПЧ, 3-КПЧ, 4-ПЖ, 5-ПЧ-ПЖ и т.д.)</t>
  </si>
  <si>
    <t>var2=3#int#Version.Release#Версия ПО. Релиз</t>
  </si>
  <si>
    <t>var3=4#int#Version.Order#Версия ПО. Нестандарт (0-стандарт, другое число (обычно серийный номер ЩУ)-нестандарт)</t>
  </si>
  <si>
    <t>var4=5#int#SN.YYMM#Серийный номер станции (YY-год, MM-месяц)</t>
  </si>
  <si>
    <t>var5=6#int#SN.Number#Серийный номер станции (ZZZZZ-номер заказа)</t>
  </si>
  <si>
    <t>var6=7#long#SmsCode#Номер для SMS. Код страны, оператора</t>
  </si>
  <si>
    <t>var7=9#long#SmsNumb#Номер для SMS. Номер абонента</t>
  </si>
  <si>
    <t>var8=b#int#CurTime.Day#Текущее время ПЛК. День</t>
  </si>
  <si>
    <t>var9=c#int#CurTime.Month#Текущее время ПЛК. Месяц</t>
  </si>
  <si>
    <t>var10=d#int#CurTime.Year#Текущее время ПЛК. Год</t>
  </si>
  <si>
    <t>var11=e#int#CurTime.Hour#Текущее время ПЛК. Час</t>
  </si>
  <si>
    <t>var12=f#int#CurTime.Minute#Текущее время ПЛК. Минута</t>
  </si>
  <si>
    <t>var13=10#int#CurTime.Second#Текущее время ПЛК. Секунда</t>
  </si>
  <si>
    <t>var14=11#int#Journal.AlarmWord1#Журнал. Слово аварий №1 (b0-Насос1.Нет связи, b1-Насос1.Авария ПЧ, b2-Насос2.Нет связи, b3-Насос2.Авария ПЧ, b4-Насос3.Нет связи, b5-Насос3.Авария ПЧ, b6-Насос4.Нет связи, b7-Насос4.Авария ПЧ, b8-Насос5.Нет связи, b9-Насос5.Авария ПЧ, b10-Насос6.Нет связи, b11-Насос6.Авария ПЧ, b12-Насос1.Авария, b13-Насос2.Авария, b14-Насос3.Авария, b15-Насос4.Авария)</t>
  </si>
  <si>
    <t>var15=12#int#Journal.AlarmWord2#Журнал. Слово аварий №2 (b0-Датчик давления на выходе №1.Авария, b1-Датчик давления на входе №1.Авария, b2-Датчик температуры.Авария, b3-Сухой ход, b4-Невыход системы на режим (Pmin), b5-Высокое давление(Pmax), b6-Насос1.Невыход на режим, b7-Насос2.Невыход на режим, b8-Насос3.Невыход на режим, b9-Насос4.Невыход на режим, b10-Насос5.Невыход на режим, b11-Насос6.Невыход на режим, b12-Насос5.Авария, b13-Насос6.Авария, b14-Бак1.Отказ датчика уровня, b15-Бак2.Отказ датчика уровня)</t>
  </si>
  <si>
    <t>var16=13#int#Journal.EventWord1#Журнал. Слово событий №1(b0-Режим НОЛЬ, b1-Режим МЕСТ, b2-Режим АВТО, b3-Режим РУЧН, b4-Насос1.Пуск, b5-Насос2.Пуск, b6-Насос3.Пуск, b7-Насос4.Пуск, b8-Насос5.Пуск, b9-Насос6.Пуск, b10-Внешнее отключение, b11-Ротация, b12-, b13-, b14-, b15-)</t>
  </si>
  <si>
    <t>var17=14#int#SysMode#Режим системы (0-НОЛЬ, 1-МЕСТ, 2-РУЧН, 3-АВТО)</t>
  </si>
  <si>
    <t>var18=15#int#SysMode.BitState#Режим системы. Побитовый статус (b0-НОЛЬ, b1-МЕСТ, b2-РУЧН, b3-АВТО, b4-Управление от ПЛК - АВТО или РУЧН)</t>
  </si>
  <si>
    <t>var19=16#int#SysState#Статус работы системы (0-стоп, 1-поддержание уставки, 2-работа без регулирования, 3-тест на низкий расход, 4-подбив перед сном, 5-ротация, 6-ожидание, 7-сон, 8-авария датчика, 9-нет насосов в АВТО, 10-нет готовых насосов, 11-внешнее отключение, 12-сухой ход, 13-невыход на режим-Pmin, 14-высокое давление-Pmax, 15-ПЛК не готов (загрузка)</t>
  </si>
  <si>
    <t>var20=17#real#Setpoint#Уставка давления, бар</t>
  </si>
  <si>
    <t>var21=19#real#PE_out.Value#Датчик давления на выходе. Значение, бар</t>
  </si>
  <si>
    <t>var22=1b#int#PE_out.State#Датчик давления на выходе. Cтатус (0-запрещен, 1-тест, 2-авария модуля, 3-отказ,нижний предел, 4-отказ,верхний предел, 5-норма)</t>
  </si>
  <si>
    <t>var23=1c#int#PE_out.BitState#Датчик давления на выходе. Побитовый статус (b0-разрешен, b1-тест, b2-отказ(общий), b3-авария модуля, b4-отказ,нижний предел, b5-отказ,верхний предел, b6-готов, b7-не готов)</t>
  </si>
  <si>
    <t>var24=1d#real#PE_in.Value#Датчик давления на входе. Значение, бар</t>
  </si>
  <si>
    <t>var25=1f#int#PE_in.State#Датчик давления на входе. Cтатус (0-запрещен, 1-тест, 2-авария модуля, 3-отказ,нижний предел, 4-отказ,верхний предел, 5-норма)</t>
  </si>
  <si>
    <t>var26=20#int#PE_in.BitState#Датчик давления на входе. Побитовый статус (b0-разрешен, b1-тест, b2-отказ(общий), b3-авария модуля, b4-отказ,нижний предел, b5-отказ,верхний предел, b6-готов, b7-не готов)</t>
  </si>
  <si>
    <t>var27=21#real#dP.Value#Перепад давления. Значение, бар</t>
  </si>
  <si>
    <t>var28=23#int#dP.BitState#Перепад давления. Побитовый статус (b0-разрешен, b1-отказ)</t>
  </si>
  <si>
    <t>var29=24#int#Flowmeter.ShowEn#Расходомер. Наличие</t>
  </si>
  <si>
    <t>var30=25#real#Volume#Накопленный объем, м3</t>
  </si>
  <si>
    <t>var31=27#real#Flow#Мгновенный расход, м3/ч</t>
  </si>
  <si>
    <t>var32=29#int#Pump1.Mode#Насос №1. Режим управления (0-НОЛЬ, 1-МЕСТ, 2-РУЧН, 3-АВТО)</t>
  </si>
  <si>
    <t>var33=2a#int#Pump1.State#Насос №1. Статус (0-не существует, 1-запрещен, 2-авария, 3-работа и пуск, 4-работа без пуска, 5-пуск, 6-стоп)</t>
  </si>
  <si>
    <t>var34=2b#int#Pump1.BitState#Насос №1.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t>
  </si>
  <si>
    <t>var35=2c#real#Pump1.RT hh.mm#Насос №1. Наработка в формате ЧЧ.ММ</t>
  </si>
  <si>
    <t>var36=2e#long#Pump1.NumStarts#Насос №1. Количество пусков</t>
  </si>
  <si>
    <t>var37=30#int#Pump1.MbState#Насос №1. Статус связи с ПЧ (0-отключен, 1-отказ, 2-норма)</t>
  </si>
  <si>
    <t>var38=31#real#Pump1.TaskFreq#Насос №1. Задание частоты, Гц</t>
  </si>
  <si>
    <t>var39=33#real#Pump1.OutFreq#Насос №1. Выходная частота, Гц</t>
  </si>
  <si>
    <t>var40=35#real#Pump1.Voltage#Насос №1. Напряжение двигателя, В</t>
  </si>
  <si>
    <t>var41=37#real#Pump1.Current#Насос №1. Ток двигателя, А</t>
  </si>
  <si>
    <t>var42=39#int#Pump1.LastFaultCode#Насос №1. Сохраненый код отказа ПЧ (см. инструкцию ПЧ)</t>
  </si>
  <si>
    <t>var43=3a#int#Pump2.Mode#Насос №2. Режим управления (0-НОЛЬ, 1-МЕСТ, 2-РУЧН, 3-АВТО)</t>
  </si>
  <si>
    <t>var44=3b#int#Pump2.State#Насос №2. Статус (0-не существует, 1-запрещен, 2-авария, 3-работа и пуск, 4-работа без пуска, 5-пуск, 6-стоп)</t>
  </si>
  <si>
    <t>var45=3c#int#Pump2.BitState#Насос №2.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t>
  </si>
  <si>
    <t>var46=3d#real#Pump2.RT hh.mm#Насос №2. Наработка в формате ЧЧ.ММ</t>
  </si>
  <si>
    <t>var47=3f#long#Pump2.NumStarts#Насос №2. Количество пусков</t>
  </si>
  <si>
    <t>var48=41#int#Pump2.MbState#Насос №2. Статус связи с ПЧ (0-отключен, 1-отказ, 2-норма)</t>
  </si>
  <si>
    <t>var49=42#real#Pump2.TaskFreq#Насос №2. Задание частоты, Гц</t>
  </si>
  <si>
    <t>var50=44#real#Pump2.OutFreq#Насос №2. Выходная частота, Гц</t>
  </si>
  <si>
    <t>var51=46#real#Pump2.Voltage#Насос №2. Напряжение двигателя, В</t>
  </si>
  <si>
    <t>var52=48#real#Pump2.Current#Насос №2. Ток двигателя, А</t>
  </si>
  <si>
    <t>var53=4a#int#Pump2.LastFaultCode#Насос №2. Сохраненый код отказа ПЧ (см. инструкцию ПЧ)</t>
  </si>
  <si>
    <t>var54=4b#int#Pump3.Mode#Насос №3. Режим управления (0-НОЛЬ, 1-МЕСТ, 2-РУЧН, 3-АВТО)</t>
  </si>
  <si>
    <t>var55=4c#int#Pump3.State#Насос №3. Статус (0-не существует, 1-запрещен, 2-авария, 3-работа и пуск, 4-работа без пуска, 5-пуск, 6-стоп)</t>
  </si>
  <si>
    <t>var56=4d#int#Pump3.BitState#Насос №3.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t>
  </si>
  <si>
    <t>var57=4e#real#Pump3.RT hh.mm#Насос №3. Наработка в формате ЧЧ.ММ</t>
  </si>
  <si>
    <t>var58=50#long#Pump3.NumStarts#Насос №3. Количество пусков</t>
  </si>
  <si>
    <t>var59=52#int#Pump3.MbState#Насос №3. Статус связи с ПЧ (0-отключен, 1-отказ, 2-норма)</t>
  </si>
  <si>
    <t>var60=53#real#Pump3.TaskFreq#Насос №3. Задание частоты, Гц</t>
  </si>
  <si>
    <t>var61=55#real#Pump3.OutFreq#Насос №3. Выходная частота, Гц</t>
  </si>
  <si>
    <t>var62=57#real#Pump3.Voltage#Насос №3. Напряжение двигателя, В</t>
  </si>
  <si>
    <t>var63=59#real#Pump3.Current#Насос №3. Ток двигателя, А</t>
  </si>
  <si>
    <t>var64=5b#int#Pump3.LastFaultCode#Насос №3. Сохраненый код отказа ПЧ (см. инструкцию ПЧ)</t>
  </si>
  <si>
    <t>var65=5c#int#Pump4.Mode#Насос №4. Режим управления (0-НОЛЬ, 1-МЕСТ, 2-РУЧН, 3-АВТО)</t>
  </si>
  <si>
    <t>var66=5d#int#Pump4.State#Насос №4. Статус (0-не существует, 1-запрещен, 2-авария, 3-работа и пуск, 4-работа без пуска, 5-пуск, 6-стоп)</t>
  </si>
  <si>
    <t>var67=5e#int#Pump4.BitState#Насос №4.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t>
  </si>
  <si>
    <t>var68=5f#real#Pump4.RT hh.mm#Насос №4. Наработка в формате ЧЧ.ММ</t>
  </si>
  <si>
    <t>var69=61#long#Pump4.NumStarts#Насос №4. Количество пусков</t>
  </si>
  <si>
    <t>var70=63#int#Pump4.MbState#Насос №4. Статус связи с ПЧ (0-отключен, 1-отказ, 2-норма)</t>
  </si>
  <si>
    <t>var71=64#real#Pump4.TaskFreq#Насос №4. Задание частоты, Гц</t>
  </si>
  <si>
    <t>var72=66#real#Pump4.OutFreq#Насос №4. Выходная частота, Гц</t>
  </si>
  <si>
    <t>var73=68#real#Pump4.Voltage#Насос №4. Напряжение двигателя, В</t>
  </si>
  <si>
    <t>var74=6a#real#Pump4.Current#Насос №4. Ток двигателя, А</t>
  </si>
  <si>
    <t>var75=6c#int#Pump4.LastFaultCode#Насос №4. Сохраненый код отказа ПЧ (см. инструкцию ПЧ)</t>
  </si>
  <si>
    <t>var76=6d#int#Pump5.Mode#Насос №5. Режим управления (0-НОЛЬ, 1-МЕСТ, 2-РУЧН, 3-АВТО)</t>
  </si>
  <si>
    <t>var77=6e#int#Pump5.State#Насос №5. Статус (0-не существует, 1-запрещен, 2-авария, 3-работа и пуск, 4-работа без пуска, 5-пуск, 6-стоп)</t>
  </si>
  <si>
    <t>var78=6f#int#Pump5.BitState#Насос №5.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t>
  </si>
  <si>
    <t>var79=70#real#Pump5.RT hh.mm#Насос №5. Наработка в формате ЧЧ.ММ</t>
  </si>
  <si>
    <t>var80=72#long#Pump5.NumStarts#Насос №5. Количество пусков</t>
  </si>
  <si>
    <t>var81=74#int#Pump5.MbState#Насос №5. Статус связи с ПЧ (0-отключен, 1-отказ, 2-норма)</t>
  </si>
  <si>
    <t>var82=75#real#Pump5.TaskFreq#Насос №5. Задание частоты, Гц</t>
  </si>
  <si>
    <t>var83=77#real#Pump5.OutFreq#Насос №5. Выходная частота, Гц</t>
  </si>
  <si>
    <t>var84=79#real#Pump5.Voltage#Насос №5. Напряжение двигателя, В</t>
  </si>
  <si>
    <t>var85=7b#real#Pump5.Current#Насос №5. Ток двигателя, А</t>
  </si>
  <si>
    <t>var86=7d#int#Pump5.LastFaultCode#Насос №5. Сохраненый код отказа ПЧ (см. инструкцию ПЧ)</t>
  </si>
  <si>
    <t>var87=7e#int#Pump6.Mode#Насос №6. Режим управления (0-НОЛЬ, 1-МЕСТ, 2-РУЧН, 3-АВТО)</t>
  </si>
  <si>
    <t>var88=7f#int#Pump6.State#Насос №6. Статус (0-не существует, 1-запрещен, 2-авария, 3-работа и пуск, 4-работа без пуска, 5-пуск, 6-стоп)</t>
  </si>
  <si>
    <t>var89=80#int#Pump6.BitState#Насос №6.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t>
  </si>
  <si>
    <t>var90=81#real#Pump6.RT hh.mm#Насос №6. Наработка в формате ЧЧ.ММ</t>
  </si>
  <si>
    <t>var91=83#long#Pump6.NumStarts#Насос №6. Количество пусков</t>
  </si>
  <si>
    <t>var92=85#int#Pump6.MbState#Насос №6. Статус связи с ПЧ (0-отключен, 1-отказ, 2-норма)</t>
  </si>
  <si>
    <t>var93=86#real#Pump6.TaskFreq#Насос №6. Задание частоты, Гц</t>
  </si>
  <si>
    <t>var94=88#real#Pump6.OutFreq#Насос №6. Выходная частота, Гц</t>
  </si>
  <si>
    <t>var95=8a#real#Pump6.Voltage#Насос №6. Напряжение двигателя, В</t>
  </si>
  <si>
    <t>var96=8c#real#Pump6.Current#Насос №6. Ток двигателя, А</t>
  </si>
  <si>
    <t>var97=8e#int#Pump6.LastFaultCode#Насос №6. Сохраненый код отказа ПЧ (см. инструкцию ПЧ)</t>
  </si>
  <si>
    <t>var98=8f#real#TE.Value#Датчик температуры. Значение, °С</t>
  </si>
  <si>
    <t>var99=91#int#TE.State#Датчик температуры. Cтатус (0-запрещен, 1-тест, 2-авария модуля, 3-отказ,нижний предел, 4-отказ,верхний предел, 5-норма)</t>
  </si>
  <si>
    <t>var100=92#int#TE.BitState#Датчик температуры. Побитовый статус (b0-разрешен, b1-тест, b2-отказ(общий), b3-авария модуля, b4-отказ,нижний предел, b5-отказ,верхний предел, b6-готов, b7-не готов)</t>
  </si>
  <si>
    <t>var101=93#int#Journal.AlarmWord3#Журнал. Слово аварий №3 (b0-Задвижка1.Авария, b1-Задвижка1.Авария времени открытия, b2-Задвижка1.Авария времени закрытия, b3-Задвижка2.Авария, b4-Задвижка2.Авария времени открытия, b5-Задвижка2.Авария времени закрытия, b6-Резервуар1.Авария поплавков, b7-Резервуар1.Аварийно-низкий уровень, b8-Резервуар1.Аварийно-высокий уровень, b9-Резервуар2.Авария поплавков, b10-Резервуар2.Аварийно-низкий уровень, b11-Резервуар2.Аварийно-высокий уровень, b12-FMR1.Нет связи, b13-Датчик давления на выходе2.Авария, b14-Протечка, b15-Аварийно низкая температура в насосной)</t>
  </si>
  <si>
    <t>var102=94#int#Bak1.LS.Bits#Резервуар №1. Поплавки. Побитовый статус (b0-Поплавок АНУ. Разрешен, b1-Поплавок АНУ. Замкнут, b2-Поплавок АНУ. Разомкнут, b3-Поплавок НУ. Разрешен, b4-Поплавок НУ. Замкнут, b5-Поплавок НУ. Разомкнут, b6-Поплавок ВУ. Разрешен, b7-Поплавок ВУ. Замкнут, b8-Поплавок ВУ. Разомкнут, b9-Поплавок АВУ. Разрешен, b10-Поплавок АВУ. Замкнут, b11-Поплавок АВУ. Разомкнут, b12-Авария поплавков)</t>
  </si>
  <si>
    <t>var103=95#real#Bak1.Level#Резервуар №1. Уровень, метры</t>
  </si>
  <si>
    <t>var104=97#int#Bak2.LS.Bits#Резервуар №2. Поплавки. Побитовый статус (b0-Поплавок АНУ. Разрешен, b1-Поплавок АНУ. Замкнут, b2-Поплавок АНУ. Разомкнут, b3-Поплавок НУ. Разрешен, b4-Поплавок НУ. Замкнут, b5-Поплавок НУ. Разомкнут, b6-Поплавок ВУ. Разрешен, b7-Поплавок ВУ. Замкнут, b8-Поплавок ВУ. Разомкнут, b9-Поплавок АВУ. Разрешен, b10-Поплавок АВУ. Замкнут, b11-Поплавок АВУ. Разомкнут, b12-Авария поплавков)</t>
  </si>
  <si>
    <t>var105=98#real#Bak2.Level#Резервуар №2. Уровень, метры</t>
  </si>
  <si>
    <t>var106=9a#int#Valve1.Mode#Задвижка №1. Режим управления (0-НОЛЬ, 1-МЕСТ, 2-РУЧН, 3-АВТО)</t>
  </si>
  <si>
    <t>var107=9b#int#Valve1.Pos.State#Задвижка №1. Статус положения (0-не существует, 1-активны обе команды, 2-открывается, 3-закрывается, 4-открыта+закрыта, 5-открыта, 6-закрыта, 7-среднее)</t>
  </si>
  <si>
    <t>var108=9c#int#Valve1.Alarm.State#Задвижка №1. Статус аварий (0-нет аварий, 2-авария, 7-превышено время открытия, 8-превышено время закрытия )</t>
  </si>
  <si>
    <t>var109=9d#int#Valve2.Mode#Задвижка №2. Режим управления (0-НОЛЬ, 1-МЕСТ, 2-РУЧН, 3-АВТО)</t>
  </si>
  <si>
    <t>var110=9e#int#Valve2.Pos.State#Задвижка №2. Статус положения (0-не существует, 1-активны обе команды, 2-открывается, 3-закрывается, 4-открыта+закрыта, 5-открыта, 6-закрыта, 7-среднее)</t>
  </si>
  <si>
    <t>var111=9f#int#Valve2.Alarm.State#Задвижка №2. Статус аварий (0-нет аварий, 2-авария, 7-превышено время открытия, 8-превышено время закрытия )</t>
  </si>
  <si>
    <t>var112=a0#real#PE_in2.Value#Датчик давления на входе №2. Значение, бар</t>
  </si>
  <si>
    <t>var113=a2#int#PE_in2.State#Датчик давления на входе №2. Cтатус (0-запрещен, 1-тест, 2-авария модуля, 3-отказ,нижний предел, 4-отказ,верхний предел, 5-норма)</t>
  </si>
  <si>
    <t>var114=a3#int#PE_in2.BitState#Датчик давления на входе №2. Побитовый статус (b0-разрешен, b1-тест, b2-отказ(общий), b3-авария модуля, b4-отказ,нижний предел, b5-отказ,верхний предел, b6-готов, b7-не готов)</t>
  </si>
  <si>
    <t>var115=a4#int#Journal.AlarmWord4#Журнал. Слово аварий №4 (b0-Датчик давления на входе №2.Авария, b1-Общий ПЧ.Нет связи, b2-Общий ПЧ.Авария, b3-FMR2.Нет связи, b4-FMR3.Нет связи, b5-ПОЖАР, b6-, b7-, b8-, b9-, b10-, b11-, b12-, b13-, b14-, b15-)</t>
  </si>
  <si>
    <t>var116=a5#int#CmnAlarm Int#Общая авария</t>
  </si>
  <si>
    <t>[Request3]</t>
  </si>
  <si>
    <t>var0=1#int#SysCmdWord#Слово управления станцией (b0-активировать режим АВТО, b1-активировать режим РУЧН, b2-сброс аварий, b3-сброс связи SMConnect)</t>
  </si>
  <si>
    <t>var1=2#int#Pump1.MbCmdWord#Насос №1.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t>
  </si>
  <si>
    <t>var2=3#int#Pump2.MbCmdWord#Насос №2.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t>
  </si>
  <si>
    <t>var3=4#int#Pump3.MbCmdWord#Насос №3.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t>
  </si>
  <si>
    <t>var4=5#int#Pump4.MbCmdWord#Насос №4.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t>
  </si>
  <si>
    <t>var5=6#int#Pump5.MbCmdWord#Насос №5.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t>
  </si>
  <si>
    <t>var6=7#int#Pump6.MbCmdWord#Насос №6.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t>
  </si>
  <si>
    <t>var7=8#real#Setpoint (RW)#Уставка (запись)</t>
  </si>
  <si>
    <t>var8=a#real#Setpoint2 (RW)#Уставка №2 (запись)</t>
  </si>
  <si>
    <t>var9=c#real#Bak1.LE.Value (RW)#Резервуар №1. Датчик уровня. Значение, метры (запись)</t>
  </si>
  <si>
    <t>var10=e#real#Bak2.LE.Value (RW)#Резервуар №2. Датчик уровня. Значение, метры (запись)</t>
  </si>
  <si>
    <t>var11=10#real#ain0(МС)</t>
  </si>
  <si>
    <t>var12=12#real#ain1(МС)</t>
  </si>
  <si>
    <t>var13=14#real#ain2(МС)</t>
  </si>
  <si>
    <t>var14=16#real#ain3(МС)</t>
  </si>
  <si>
    <t>var15=18#real#ain4(МС)</t>
  </si>
  <si>
    <t>var16=1a#real#ain5(МС)</t>
  </si>
  <si>
    <t>var17=1c#real#ain6(МС)</t>
  </si>
  <si>
    <t>var18=1e#real#ain7(МС)</t>
  </si>
  <si>
    <t>Holding registers (запись - 06, 16, чтение - 03)</t>
  </si>
  <si>
    <t>Для установок повышения давления ANTARUS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</si>
</sst>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5" xfId="0" applyFont="1" applyBorder="1"/>
    <xf numFmtId="0" fontId="3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32"/>
  <sheetViews>
    <sheetView tabSelected="1" workbookViewId="0" topLeftCell="A1">
      <pane ySplit="2" topLeftCell="A3" activePane="bottomLeft" state="frozen"/>
      <selection pane="bottomLeft" activeCell="A2" sqref="A2"/>
    </sheetView>
  </sheetViews>
  <sheetFormatPr defaultColWidth="14.421875" defaultRowHeight="15.75" customHeight="1"/>
  <cols>
    <col min="1" max="1" width="6.57421875" style="0" customWidth="1"/>
    <col min="2" max="2" width="4.8515625" style="0" customWidth="1"/>
    <col min="3" max="3" width="20.57421875" style="0" customWidth="1"/>
    <col min="4" max="4" width="68.7109375" style="0" customWidth="1"/>
  </cols>
  <sheetData>
    <row r="1" spans="1:4" ht="15.75" customHeight="1">
      <c r="A1" s="33" t="s">
        <v>225</v>
      </c>
      <c r="B1" s="33"/>
      <c r="C1" s="33"/>
      <c r="D1" s="33"/>
    </row>
    <row r="2" spans="1:4" ht="38.25">
      <c r="A2" s="9" t="s">
        <v>0</v>
      </c>
      <c r="B2" s="7" t="s">
        <v>3</v>
      </c>
      <c r="C2" s="1" t="s">
        <v>12</v>
      </c>
      <c r="D2" s="9" t="s">
        <v>13</v>
      </c>
    </row>
    <row r="3" spans="1:4" ht="15.75" customHeight="1">
      <c r="A3" s="29" t="s">
        <v>16</v>
      </c>
      <c r="B3" s="30"/>
      <c r="C3" s="30"/>
      <c r="D3" s="31"/>
    </row>
    <row r="4" spans="1:4" ht="12.75">
      <c r="A4" s="16">
        <f ca="1">HEX2DEC(SPLIT!B2)</f>
        <v>0</v>
      </c>
      <c r="B4" s="16" t="str">
        <f ca="1">SPLIT!C2</f>
        <v>long</v>
      </c>
      <c r="C4" s="17" t="str">
        <f ca="1">SPLIT!D2</f>
        <v>SN PLC</v>
      </c>
      <c r="D4" s="18" t="str">
        <f ca="1">SPLIT!E2</f>
        <v>Серийный номер ПЛК</v>
      </c>
    </row>
    <row r="5" spans="1:4" ht="12.75">
      <c r="A5" s="16">
        <f ca="1">HEX2DEC(SPLIT!B3)</f>
        <v>2</v>
      </c>
      <c r="B5" s="16" t="str">
        <f ca="1">SPLIT!C3</f>
        <v>int</v>
      </c>
      <c r="C5" s="17" t="str">
        <f ca="1">SPLIT!D3</f>
        <v>Version.Type</v>
      </c>
      <c r="D5" s="18" t="str">
        <f ca="1">SPLIT!E3</f>
        <v>Версия ПО. Тип станции (1-КНС, 2-ПЧ, 3-КПЧ, 4-ПЖ, 5-ПЧ-ПЖ и т.д.)</v>
      </c>
    </row>
    <row r="6" spans="1:4" ht="12.75">
      <c r="A6" s="16">
        <f ca="1">HEX2DEC(SPLIT!B4)</f>
        <v>3</v>
      </c>
      <c r="B6" s="16" t="str">
        <f ca="1">SPLIT!C4</f>
        <v>int</v>
      </c>
      <c r="C6" s="17" t="str">
        <f ca="1">SPLIT!D4</f>
        <v>Version.Release</v>
      </c>
      <c r="D6" s="18" t="str">
        <f ca="1">SPLIT!E4</f>
        <v>Версия ПО. Релиз</v>
      </c>
    </row>
    <row r="7" spans="1:4" ht="25.5">
      <c r="A7" s="16">
        <f ca="1">HEX2DEC(SPLIT!B5)</f>
        <v>4</v>
      </c>
      <c r="B7" s="16" t="str">
        <f ca="1">SPLIT!C5</f>
        <v>int</v>
      </c>
      <c r="C7" s="17" t="str">
        <f ca="1">SPLIT!D5</f>
        <v>Version.Order</v>
      </c>
      <c r="D7" s="18" t="str">
        <f ca="1">SPLIT!E5</f>
        <v>Версия ПО. Нестандарт (0-стандарт, другое число (обычно серийный номер ЩУ)-нестандарт)</v>
      </c>
    </row>
    <row r="8" spans="1:4" ht="12.75">
      <c r="A8" s="16">
        <f ca="1">HEX2DEC(SPLIT!B6)</f>
        <v>5</v>
      </c>
      <c r="B8" s="16" t="str">
        <f ca="1">SPLIT!C6</f>
        <v>int</v>
      </c>
      <c r="C8" s="17" t="str">
        <f ca="1">SPLIT!D6</f>
        <v>SN.YYMM</v>
      </c>
      <c r="D8" s="18" t="str">
        <f ca="1">SPLIT!E6</f>
        <v>Серийный номер станции (YY-год, MM-месяц)</v>
      </c>
    </row>
    <row r="9" spans="1:4" ht="12.75">
      <c r="A9" s="16">
        <f ca="1">HEX2DEC(SPLIT!B7)</f>
        <v>6</v>
      </c>
      <c r="B9" s="16" t="str">
        <f ca="1">SPLIT!C7</f>
        <v>int</v>
      </c>
      <c r="C9" s="17" t="str">
        <f ca="1">SPLIT!D7</f>
        <v>SN.Number</v>
      </c>
      <c r="D9" s="18" t="str">
        <f ca="1">SPLIT!E7</f>
        <v>Серийный номер станции (ZZZZZ-номер заказа)</v>
      </c>
    </row>
    <row r="10" spans="1:4" ht="12.75">
      <c r="A10" s="16">
        <f ca="1">HEX2DEC(SPLIT!B8)</f>
        <v>7</v>
      </c>
      <c r="B10" s="16" t="str">
        <f ca="1">SPLIT!C8</f>
        <v>long</v>
      </c>
      <c r="C10" s="17" t="str">
        <f ca="1">SPLIT!D8</f>
        <v>SmsCode</v>
      </c>
      <c r="D10" s="18" t="str">
        <f ca="1">SPLIT!E8</f>
        <v>Номер для SMS. Код страны, оператора</v>
      </c>
    </row>
    <row r="11" spans="1:4" ht="12.75">
      <c r="A11" s="16">
        <f ca="1">HEX2DEC(SPLIT!B9)</f>
        <v>9</v>
      </c>
      <c r="B11" s="16" t="str">
        <f ca="1">SPLIT!C9</f>
        <v>long</v>
      </c>
      <c r="C11" s="17" t="str">
        <f ca="1">SPLIT!D9</f>
        <v>SmsNumb</v>
      </c>
      <c r="D11" s="18" t="str">
        <f ca="1">SPLIT!E9</f>
        <v>Номер для SMS. Номер абонента</v>
      </c>
    </row>
    <row r="12" spans="1:4" ht="12.75">
      <c r="A12" s="16">
        <f ca="1">HEX2DEC(SPLIT!B10)</f>
        <v>11</v>
      </c>
      <c r="B12" s="16" t="str">
        <f ca="1">SPLIT!C10</f>
        <v>int</v>
      </c>
      <c r="C12" s="17" t="str">
        <f ca="1">SPLIT!D10</f>
        <v>CurTime.Day</v>
      </c>
      <c r="D12" s="18" t="str">
        <f ca="1">SPLIT!E10</f>
        <v>Текущее время ПЛК. День</v>
      </c>
    </row>
    <row r="13" spans="1:4" ht="12.75">
      <c r="A13" s="16">
        <f ca="1">HEX2DEC(SPLIT!B11)</f>
        <v>12</v>
      </c>
      <c r="B13" s="16" t="str">
        <f ca="1">SPLIT!C11</f>
        <v>int</v>
      </c>
      <c r="C13" s="17" t="str">
        <f ca="1">SPLIT!D11</f>
        <v>CurTime.Month</v>
      </c>
      <c r="D13" s="18" t="str">
        <f ca="1">SPLIT!E11</f>
        <v>Текущее время ПЛК. Месяц</v>
      </c>
    </row>
    <row r="14" spans="1:4" ht="12.75">
      <c r="A14" s="16">
        <f ca="1">HEX2DEC(SPLIT!B12)</f>
        <v>13</v>
      </c>
      <c r="B14" s="16" t="str">
        <f ca="1">SPLIT!C12</f>
        <v>int</v>
      </c>
      <c r="C14" s="17" t="str">
        <f ca="1">SPLIT!D12</f>
        <v>CurTime.Year</v>
      </c>
      <c r="D14" s="18" t="str">
        <f ca="1">SPLIT!E12</f>
        <v>Текущее время ПЛК. Год</v>
      </c>
    </row>
    <row r="15" spans="1:4" ht="12.75">
      <c r="A15" s="16">
        <f ca="1">HEX2DEC(SPLIT!B13)</f>
        <v>14</v>
      </c>
      <c r="B15" s="16" t="str">
        <f ca="1">SPLIT!C13</f>
        <v>int</v>
      </c>
      <c r="C15" s="17" t="str">
        <f ca="1">SPLIT!D13</f>
        <v>CurTime.Hour</v>
      </c>
      <c r="D15" s="18" t="str">
        <f ca="1">SPLIT!E13</f>
        <v>Текущее время ПЛК. Час</v>
      </c>
    </row>
    <row r="16" spans="1:4" ht="12.75">
      <c r="A16" s="16">
        <f ca="1">HEX2DEC(SPLIT!B14)</f>
        <v>15</v>
      </c>
      <c r="B16" s="16" t="str">
        <f ca="1">SPLIT!C14</f>
        <v>int</v>
      </c>
      <c r="C16" s="17" t="str">
        <f ca="1">SPLIT!D14</f>
        <v>CurTime.Minute</v>
      </c>
      <c r="D16" s="18" t="str">
        <f ca="1">SPLIT!E14</f>
        <v>Текущее время ПЛК. Минута</v>
      </c>
    </row>
    <row r="17" spans="1:4" ht="12.75">
      <c r="A17" s="16">
        <f ca="1">HEX2DEC(SPLIT!B15)</f>
        <v>16</v>
      </c>
      <c r="B17" s="16" t="str">
        <f ca="1">SPLIT!C15</f>
        <v>int</v>
      </c>
      <c r="C17" s="17" t="str">
        <f ca="1">SPLIT!D15</f>
        <v>CurTime.Second</v>
      </c>
      <c r="D17" s="18" t="str">
        <f ca="1">SPLIT!E15</f>
        <v>Текущее время ПЛК. Секунда</v>
      </c>
    </row>
    <row r="18" spans="1:4" ht="76.5">
      <c r="A18" s="16">
        <f ca="1">HEX2DEC(SPLIT!B16)</f>
        <v>17</v>
      </c>
      <c r="B18" s="16" t="str">
        <f ca="1">SPLIT!C16</f>
        <v>int</v>
      </c>
      <c r="C18" s="17" t="str">
        <f ca="1">SPLIT!D16</f>
        <v>Journal.AlarmWord1</v>
      </c>
      <c r="D18" s="18" t="str">
        <f ca="1">SPLIT!E16</f>
        <v>Журнал. Слово аварий №1 (b0-Насос1.Нет связи, b1-Насос1.Авария ПЧ, b2-Насос2.Нет связи, b3-Насос2.Авария ПЧ, b4-Насос3.Нет связи, b5-Насос3.Авария ПЧ, b6-Насос4.Нет связи, b7-Насос4.Авария ПЧ, b8-Насос5.Нет связи, b9-Насос5.Авария ПЧ, b10-Насос6.Нет связи, b11-Насос6.Авария ПЧ, b12-Насос1.Авария, b13-Насос2.Авария, b14-Насос3.Авария, b15-Насос4.Авария)</v>
      </c>
    </row>
    <row r="19" spans="1:4" ht="102">
      <c r="A19" s="16">
        <f ca="1">HEX2DEC(SPLIT!B17)</f>
        <v>18</v>
      </c>
      <c r="B19" s="16" t="str">
        <f ca="1">SPLIT!C17</f>
        <v>int</v>
      </c>
      <c r="C19" s="17" t="str">
        <f ca="1">SPLIT!D17</f>
        <v>Journal.AlarmWord2</v>
      </c>
      <c r="D19" s="18" t="str">
        <f ca="1">SPLIT!E17</f>
        <v>Журнал. Слово аварий №2 (b0-Датчик давления на выходе №1.Авария, b1-Датчик давления на входе №1.Авария, b2-Датчик температуры.Авария, b3-Сухой ход, b4-Невыход системы на режим (Pmin), b5-Высокое давление(Pmax), b6-Насос1.Невыход на режим, b7-Насос2.Невыход на режим, b8-Насос3.Невыход на режим, b9-Насос4.Невыход на режим, b10-Насос5.Невыход на режим, b11-Насос6.Невыход на режим, b12-Насос5.Авария, b13-Насос6.Авария, b14-Бак1.Отказ датчика уровня, b15-Бак2.Отказ датчика уровня)</v>
      </c>
    </row>
    <row r="20" spans="1:4" ht="51">
      <c r="A20" s="16">
        <f ca="1">HEX2DEC(SPLIT!B18)</f>
        <v>19</v>
      </c>
      <c r="B20" s="16" t="str">
        <f ca="1">SPLIT!C18</f>
        <v>int</v>
      </c>
      <c r="C20" s="17" t="str">
        <f ca="1">SPLIT!D18</f>
        <v>Journal.EventWord1</v>
      </c>
      <c r="D20" s="18" t="str">
        <f ca="1">SPLIT!E18</f>
        <v>Журнал. Слово событий №1(b0-Режим НОЛЬ, b1-Режим МЕСТ, b2-Режим АВТО, b3-Режим РУЧН, b4-Насос1.Пуск, b5-Насос2.Пуск, b6-Насос3.Пуск, b7-Насос4.Пуск, b8-Насос5.Пуск, b9-Насос6.Пуск, b10-Внешнее отключение, b11-Ротация, b12-, b13-, b14-, b15-)</v>
      </c>
    </row>
    <row r="21" spans="1:4" ht="12.75">
      <c r="A21" s="16">
        <f ca="1">HEX2DEC(SPLIT!B19)</f>
        <v>20</v>
      </c>
      <c r="B21" s="16" t="str">
        <f ca="1">SPLIT!C19</f>
        <v>int</v>
      </c>
      <c r="C21" s="17" t="str">
        <f ca="1">SPLIT!D19</f>
        <v>SysMode</v>
      </c>
      <c r="D21" s="18" t="str">
        <f ca="1">SPLIT!E19</f>
        <v>Режим системы (0-НОЛЬ, 1-МЕСТ, 2-РУЧН, 3-АВТО)</v>
      </c>
    </row>
    <row r="22" spans="1:4" ht="25.5">
      <c r="A22" s="16">
        <f ca="1">HEX2DEC(SPLIT!B20)</f>
        <v>21</v>
      </c>
      <c r="B22" s="16" t="str">
        <f ca="1">SPLIT!C20</f>
        <v>int</v>
      </c>
      <c r="C22" s="17" t="str">
        <f ca="1">SPLIT!D20</f>
        <v>SysMode.BitState</v>
      </c>
      <c r="D22" s="18" t="str">
        <f ca="1">SPLIT!E20</f>
        <v>Режим системы. Побитовый статус (b0-НОЛЬ, b1-МЕСТ, b2-РУЧН, b3-АВТО, b4-Управление от ПЛК - АВТО или РУЧН)</v>
      </c>
    </row>
    <row r="23" spans="1:4" ht="76.5">
      <c r="A23" s="16">
        <f ca="1">HEX2DEC(SPLIT!B21)</f>
        <v>22</v>
      </c>
      <c r="B23" s="16" t="str">
        <f ca="1">SPLIT!C21</f>
        <v>int</v>
      </c>
      <c r="C23" s="17" t="str">
        <f ca="1">SPLIT!D21</f>
        <v>SysState</v>
      </c>
      <c r="D23" s="18" t="str">
        <f ca="1">SPLIT!E21</f>
        <v>Статус работы системы (0-стоп, 1-поддержание уставки, 2-работа без регулирования, 3-тест на низкий расход, 4-подбив перед сном, 5-ротация, 6-ожидание, 7-сон, 8-авария датчика, 9-нет насосов в АВТО, 10-нет готовых насосов, 11-внешнее отключение, 12-сухой ход, 13-невыход на режим-Pmin, 14-высокое давление-Pmax, 15-ПЛК не готов (загрузка)</v>
      </c>
    </row>
    <row r="24" spans="1:4" ht="12.75">
      <c r="A24" s="16">
        <f ca="1">HEX2DEC(SPLIT!B22)</f>
        <v>23</v>
      </c>
      <c r="B24" s="16" t="str">
        <f ca="1">SPLIT!C22</f>
        <v>real</v>
      </c>
      <c r="C24" s="17" t="str">
        <f ca="1">SPLIT!D22</f>
        <v>Setpoint</v>
      </c>
      <c r="D24" s="18" t="str">
        <f ca="1">SPLIT!E22</f>
        <v>Уставка давления, бар</v>
      </c>
    </row>
    <row r="25" spans="1:4" ht="12.75">
      <c r="A25" s="16">
        <f ca="1">HEX2DEC(SPLIT!B23)</f>
        <v>25</v>
      </c>
      <c r="B25" s="16" t="str">
        <f ca="1">SPLIT!C23</f>
        <v>real</v>
      </c>
      <c r="C25" s="17" t="str">
        <f ca="1">SPLIT!D23</f>
        <v>PE_out.Value</v>
      </c>
      <c r="D25" s="18" t="str">
        <f ca="1">SPLIT!E23</f>
        <v>Датчик давления на выходе. Значение, бар</v>
      </c>
    </row>
    <row r="26" spans="1:4" ht="25.5">
      <c r="A26" s="16">
        <f ca="1">HEX2DEC(SPLIT!B24)</f>
        <v>27</v>
      </c>
      <c r="B26" s="16" t="str">
        <f ca="1">SPLIT!C24</f>
        <v>int</v>
      </c>
      <c r="C26" s="17" t="str">
        <f ca="1">SPLIT!D24</f>
        <v>PE_out.State</v>
      </c>
      <c r="D26" s="18" t="str">
        <f ca="1">SPLIT!E24</f>
        <v>Датчик давления на выходе. Cтатус (0-запрещен, 1-тест, 2-авария модуля, 3-отказ,нижний предел, 4-отказ,верхний предел, 5-норма)</v>
      </c>
    </row>
    <row r="27" spans="1:4" ht="38.25">
      <c r="A27" s="16">
        <f ca="1">HEX2DEC(SPLIT!B25)</f>
        <v>28</v>
      </c>
      <c r="B27" s="16" t="str">
        <f ca="1">SPLIT!C25</f>
        <v>int</v>
      </c>
      <c r="C27" s="17" t="str">
        <f ca="1">SPLIT!D25</f>
        <v>PE_out.BitState</v>
      </c>
      <c r="D27" s="18" t="str">
        <f ca="1">SPLIT!E25</f>
        <v>Датчик давления на выходе. Побитовый статус (b0-разрешен, b1-тест, b2-отказ(общий), b3-авария модуля, b4-отказ,нижний предел, b5-отказ,верхний предел, b6-готов, b7-не готов)</v>
      </c>
    </row>
    <row r="28" spans="1:4" ht="12.75">
      <c r="A28" s="16">
        <f ca="1">HEX2DEC(SPLIT!B26)</f>
        <v>29</v>
      </c>
      <c r="B28" s="16" t="str">
        <f ca="1">SPLIT!C26</f>
        <v>real</v>
      </c>
      <c r="C28" s="17" t="str">
        <f ca="1">SPLIT!D26</f>
        <v>PE_in.Value</v>
      </c>
      <c r="D28" s="18" t="str">
        <f ca="1">SPLIT!E26</f>
        <v>Датчик давления на входе. Значение, бар</v>
      </c>
    </row>
    <row r="29" spans="1:4" ht="25.5">
      <c r="A29" s="16">
        <f ca="1">HEX2DEC(SPLIT!B27)</f>
        <v>31</v>
      </c>
      <c r="B29" s="16" t="str">
        <f ca="1">SPLIT!C27</f>
        <v>int</v>
      </c>
      <c r="C29" s="17" t="str">
        <f ca="1">SPLIT!D27</f>
        <v>PE_in.State</v>
      </c>
      <c r="D29" s="18" t="str">
        <f ca="1">SPLIT!E27</f>
        <v>Датчик давления на входе. Cтатус (0-запрещен, 1-тест, 2-авария модуля, 3-отказ,нижний предел, 4-отказ,верхний предел, 5-норма)</v>
      </c>
    </row>
    <row r="30" spans="1:4" ht="38.25">
      <c r="A30" s="16">
        <f ca="1">HEX2DEC(SPLIT!B28)</f>
        <v>32</v>
      </c>
      <c r="B30" s="16" t="str">
        <f ca="1">SPLIT!C28</f>
        <v>int</v>
      </c>
      <c r="C30" s="17" t="str">
        <f ca="1">SPLIT!D28</f>
        <v>PE_in.BitState</v>
      </c>
      <c r="D30" s="18" t="str">
        <f ca="1">SPLIT!E28</f>
        <v>Датчик давления на входе. Побитовый статус (b0-разрешен, b1-тест, b2-отказ(общий), b3-авария модуля, b4-отказ,нижний предел, b5-отказ,верхний предел, b6-готов, b7-не готов)</v>
      </c>
    </row>
    <row r="31" spans="1:4" ht="12.75">
      <c r="A31" s="16">
        <f ca="1">HEX2DEC(SPLIT!B29)</f>
        <v>33</v>
      </c>
      <c r="B31" s="16" t="str">
        <f ca="1">SPLIT!C29</f>
        <v>real</v>
      </c>
      <c r="C31" s="17" t="str">
        <f ca="1">SPLIT!D29</f>
        <v>dP.Value</v>
      </c>
      <c r="D31" s="18" t="str">
        <f ca="1">SPLIT!E29</f>
        <v>Перепад давления. Значение, бар</v>
      </c>
    </row>
    <row r="32" spans="1:4" ht="12.75">
      <c r="A32" s="16">
        <f ca="1">HEX2DEC(SPLIT!B30)</f>
        <v>35</v>
      </c>
      <c r="B32" s="16" t="str">
        <f ca="1">SPLIT!C30</f>
        <v>int</v>
      </c>
      <c r="C32" s="17" t="str">
        <f ca="1">SPLIT!D30</f>
        <v>dP.BitState</v>
      </c>
      <c r="D32" s="18" t="str">
        <f ca="1">SPLIT!E30</f>
        <v>Перепад давления. Побитовый статус (b0-разрешен, b1-отказ)</v>
      </c>
    </row>
    <row r="33" spans="1:4" ht="12.75">
      <c r="A33" s="16">
        <f ca="1">HEX2DEC(SPLIT!B31)</f>
        <v>36</v>
      </c>
      <c r="B33" s="16" t="str">
        <f ca="1">SPLIT!C31</f>
        <v>int</v>
      </c>
      <c r="C33" s="17" t="str">
        <f ca="1">SPLIT!D31</f>
        <v>Flowmeter.ShowEn</v>
      </c>
      <c r="D33" s="18" t="str">
        <f ca="1">SPLIT!E31</f>
        <v>Расходомер. Наличие</v>
      </c>
    </row>
    <row r="34" spans="1:4" ht="12.75">
      <c r="A34" s="16">
        <f ca="1">HEX2DEC(SPLIT!B32)</f>
        <v>37</v>
      </c>
      <c r="B34" s="16" t="str">
        <f ca="1">SPLIT!C32</f>
        <v>real</v>
      </c>
      <c r="C34" s="17" t="str">
        <f ca="1">SPLIT!D32</f>
        <v>Volume</v>
      </c>
      <c r="D34" s="18" t="str">
        <f ca="1">SPLIT!E32</f>
        <v>Накопленный объем, м3</v>
      </c>
    </row>
    <row r="35" spans="1:4" ht="12.75">
      <c r="A35" s="16">
        <f ca="1">HEX2DEC(SPLIT!B33)</f>
        <v>39</v>
      </c>
      <c r="B35" s="16" t="str">
        <f ca="1">SPLIT!C33</f>
        <v>real</v>
      </c>
      <c r="C35" s="17" t="str">
        <f ca="1">SPLIT!D33</f>
        <v>Flow</v>
      </c>
      <c r="D35" s="18" t="str">
        <f ca="1">SPLIT!E33</f>
        <v>Мгновенный расход, м3/ч</v>
      </c>
    </row>
    <row r="36" spans="1:4" ht="12.75">
      <c r="A36" s="16">
        <f ca="1">HEX2DEC(SPLIT!B34)</f>
        <v>41</v>
      </c>
      <c r="B36" s="16" t="str">
        <f ca="1">SPLIT!C34</f>
        <v>int</v>
      </c>
      <c r="C36" s="17" t="str">
        <f ca="1">SPLIT!D34</f>
        <v>Pump1.Mode</v>
      </c>
      <c r="D36" s="18" t="str">
        <f ca="1">SPLIT!E34</f>
        <v>Насос №1. Режим управления (0-НОЛЬ, 1-МЕСТ, 2-РУЧН, 3-АВТО)</v>
      </c>
    </row>
    <row r="37" spans="1:4" ht="25.5">
      <c r="A37" s="16">
        <f ca="1">HEX2DEC(SPLIT!B35)</f>
        <v>42</v>
      </c>
      <c r="B37" s="16" t="str">
        <f ca="1">SPLIT!C35</f>
        <v>int</v>
      </c>
      <c r="C37" s="17" t="str">
        <f ca="1">SPLIT!D35</f>
        <v>Pump1.State</v>
      </c>
      <c r="D37" s="18" t="str">
        <f ca="1">SPLIT!E35</f>
        <v>Насос №1. Статус (0-не существует, 1-запрещен, 2-авария, 3-работа и пуск, 4-работа без пуска, 5-пуск, 6-стоп)</v>
      </c>
    </row>
    <row r="38" spans="1:4" ht="63.75">
      <c r="A38" s="16">
        <f ca="1">HEX2DEC(SPLIT!B36)</f>
        <v>43</v>
      </c>
      <c r="B38" s="16" t="str">
        <f ca="1">SPLIT!C36</f>
        <v>int</v>
      </c>
      <c r="C38" s="17" t="str">
        <f ca="1">SPLIT!D36</f>
        <v>Pump1.BitState</v>
      </c>
      <c r="D38" s="18" t="str">
        <f ca="1">SPLIT!E36</f>
        <v>Насос №1.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39" spans="1:4" ht="12.75">
      <c r="A39" s="16">
        <f ca="1">HEX2DEC(SPLIT!B37)</f>
        <v>44</v>
      </c>
      <c r="B39" s="16" t="str">
        <f ca="1">SPLIT!C37</f>
        <v>real</v>
      </c>
      <c r="C39" s="17" t="str">
        <f ca="1">SPLIT!D37</f>
        <v>Pump1.RT hh.mm</v>
      </c>
      <c r="D39" s="18" t="str">
        <f ca="1">SPLIT!E37</f>
        <v>Насос №1. Наработка в формате ЧЧ.ММ</v>
      </c>
    </row>
    <row r="40" spans="1:4" ht="12.75">
      <c r="A40" s="16">
        <f ca="1">HEX2DEC(SPLIT!B38)</f>
        <v>46</v>
      </c>
      <c r="B40" s="16" t="str">
        <f ca="1">SPLIT!C38</f>
        <v>long</v>
      </c>
      <c r="C40" s="17" t="str">
        <f ca="1">SPLIT!D38</f>
        <v>Pump1.NumStarts</v>
      </c>
      <c r="D40" s="18" t="str">
        <f ca="1">SPLIT!E38</f>
        <v>Насос №1. Количество пусков</v>
      </c>
    </row>
    <row r="41" spans="1:4" ht="12.75">
      <c r="A41" s="16">
        <f ca="1">HEX2DEC(SPLIT!B39)</f>
        <v>48</v>
      </c>
      <c r="B41" s="16" t="str">
        <f ca="1">SPLIT!C39</f>
        <v>int</v>
      </c>
      <c r="C41" s="17" t="str">
        <f ca="1">SPLIT!D39</f>
        <v>Pump1.MbState</v>
      </c>
      <c r="D41" s="18" t="str">
        <f ca="1">SPLIT!E39</f>
        <v>Насос №1. Статус связи с ПЧ (0-отключен, 1-отказ, 2-норма)</v>
      </c>
    </row>
    <row r="42" spans="1:4" ht="12.75">
      <c r="A42" s="16">
        <f ca="1">HEX2DEC(SPLIT!B40)</f>
        <v>49</v>
      </c>
      <c r="B42" s="16" t="str">
        <f ca="1">SPLIT!C40</f>
        <v>real</v>
      </c>
      <c r="C42" s="17" t="str">
        <f ca="1">SPLIT!D40</f>
        <v>Pump1.TaskFreq</v>
      </c>
      <c r="D42" s="18" t="str">
        <f ca="1">SPLIT!E40</f>
        <v>Насос №1. Задание частоты, Гц</v>
      </c>
    </row>
    <row r="43" spans="1:4" ht="12.75">
      <c r="A43" s="16">
        <f ca="1">HEX2DEC(SPLIT!B41)</f>
        <v>51</v>
      </c>
      <c r="B43" s="16" t="str">
        <f ca="1">SPLIT!C41</f>
        <v>real</v>
      </c>
      <c r="C43" s="17" t="str">
        <f ca="1">SPLIT!D41</f>
        <v>Pump1.OutFreq</v>
      </c>
      <c r="D43" s="18" t="str">
        <f ca="1">SPLIT!E41</f>
        <v>Насос №1. Выходная частота, Гц</v>
      </c>
    </row>
    <row r="44" spans="1:4" ht="12.75">
      <c r="A44" s="16">
        <f ca="1">HEX2DEC(SPLIT!B42)</f>
        <v>53</v>
      </c>
      <c r="B44" s="16" t="str">
        <f ca="1">SPLIT!C42</f>
        <v>real</v>
      </c>
      <c r="C44" s="17" t="str">
        <f ca="1">SPLIT!D42</f>
        <v>Pump1.Voltage</v>
      </c>
      <c r="D44" s="18" t="str">
        <f ca="1">SPLIT!E42</f>
        <v>Насос №1. Напряжение двигателя, В</v>
      </c>
    </row>
    <row r="45" spans="1:4" ht="12.75">
      <c r="A45" s="16">
        <f ca="1">HEX2DEC(SPLIT!B43)</f>
        <v>55</v>
      </c>
      <c r="B45" s="16" t="str">
        <f ca="1">SPLIT!C43</f>
        <v>real</v>
      </c>
      <c r="C45" s="17" t="str">
        <f ca="1">SPLIT!D43</f>
        <v>Pump1.Current</v>
      </c>
      <c r="D45" s="18" t="str">
        <f ca="1">SPLIT!E43</f>
        <v>Насос №1. Ток двигателя, А</v>
      </c>
    </row>
    <row r="46" spans="1:4" ht="12.75">
      <c r="A46" s="16">
        <f ca="1">HEX2DEC(SPLIT!B44)</f>
        <v>57</v>
      </c>
      <c r="B46" s="16" t="str">
        <f ca="1">SPLIT!C44</f>
        <v>int</v>
      </c>
      <c r="C46" s="17" t="str">
        <f ca="1">SPLIT!D44</f>
        <v>Pump1.LastFaultCode</v>
      </c>
      <c r="D46" s="18" t="str">
        <f ca="1">SPLIT!E44</f>
        <v>Насос №1. Сохраненый код отказа ПЧ (см. инструкцию ПЧ)</v>
      </c>
    </row>
    <row r="47" spans="1:4" ht="12.75">
      <c r="A47" s="16">
        <f ca="1">HEX2DEC(SPLIT!B45)</f>
        <v>58</v>
      </c>
      <c r="B47" s="16" t="str">
        <f ca="1">SPLIT!C45</f>
        <v>int</v>
      </c>
      <c r="C47" s="17" t="str">
        <f ca="1">SPLIT!D45</f>
        <v>Pump2.Mode</v>
      </c>
      <c r="D47" s="18" t="str">
        <f ca="1">SPLIT!E45</f>
        <v>Насос №2. Режим управления (0-НОЛЬ, 1-МЕСТ, 2-РУЧН, 3-АВТО)</v>
      </c>
    </row>
    <row r="48" spans="1:4" ht="25.5">
      <c r="A48" s="16">
        <f ca="1">HEX2DEC(SPLIT!B46)</f>
        <v>59</v>
      </c>
      <c r="B48" s="16" t="str">
        <f ca="1">SPLIT!C46</f>
        <v>int</v>
      </c>
      <c r="C48" s="17" t="str">
        <f ca="1">SPLIT!D46</f>
        <v>Pump2.State</v>
      </c>
      <c r="D48" s="18" t="str">
        <f ca="1">SPLIT!E46</f>
        <v>Насос №2. Статус (0-не существует, 1-запрещен, 2-авария, 3-работа и пуск, 4-работа без пуска, 5-пуск, 6-стоп)</v>
      </c>
    </row>
    <row r="49" spans="1:4" ht="63.75">
      <c r="A49" s="16">
        <f ca="1">HEX2DEC(SPLIT!B47)</f>
        <v>60</v>
      </c>
      <c r="B49" s="16" t="str">
        <f ca="1">SPLIT!C47</f>
        <v>int</v>
      </c>
      <c r="C49" s="17" t="str">
        <f ca="1">SPLIT!D47</f>
        <v>Pump2.BitState</v>
      </c>
      <c r="D49" s="18" t="str">
        <f ca="1">SPLIT!E47</f>
        <v>Насос №2.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50" spans="1:4" ht="12.75">
      <c r="A50" s="16">
        <f ca="1">HEX2DEC(SPLIT!B48)</f>
        <v>61</v>
      </c>
      <c r="B50" s="16" t="str">
        <f ca="1">SPLIT!C48</f>
        <v>real</v>
      </c>
      <c r="C50" s="17" t="str">
        <f ca="1">SPLIT!D48</f>
        <v>Pump2.RT hh.mm</v>
      </c>
      <c r="D50" s="18" t="str">
        <f ca="1">SPLIT!E48</f>
        <v>Насос №2. Наработка в формате ЧЧ.ММ</v>
      </c>
    </row>
    <row r="51" spans="1:4" ht="12.75">
      <c r="A51" s="16">
        <f ca="1">HEX2DEC(SPLIT!B49)</f>
        <v>63</v>
      </c>
      <c r="B51" s="16" t="str">
        <f ca="1">SPLIT!C49</f>
        <v>long</v>
      </c>
      <c r="C51" s="17" t="str">
        <f ca="1">SPLIT!D49</f>
        <v>Pump2.NumStarts</v>
      </c>
      <c r="D51" s="18" t="str">
        <f ca="1">SPLIT!E49</f>
        <v>Насос №2. Количество пусков</v>
      </c>
    </row>
    <row r="52" spans="1:4" ht="12.75">
      <c r="A52" s="16">
        <f ca="1">HEX2DEC(SPLIT!B50)</f>
        <v>65</v>
      </c>
      <c r="B52" s="16" t="str">
        <f ca="1">SPLIT!C50</f>
        <v>int</v>
      </c>
      <c r="C52" s="17" t="str">
        <f ca="1">SPLIT!D50</f>
        <v>Pump2.MbState</v>
      </c>
      <c r="D52" s="18" t="str">
        <f ca="1">SPLIT!E50</f>
        <v>Насос №2. Статус связи с ПЧ (0-отключен, 1-отказ, 2-норма)</v>
      </c>
    </row>
    <row r="53" spans="1:4" ht="12.75">
      <c r="A53" s="16">
        <f ca="1">HEX2DEC(SPLIT!B51)</f>
        <v>66</v>
      </c>
      <c r="B53" s="16" t="str">
        <f ca="1">SPLIT!C51</f>
        <v>real</v>
      </c>
      <c r="C53" s="17" t="str">
        <f ca="1">SPLIT!D51</f>
        <v>Pump2.TaskFreq</v>
      </c>
      <c r="D53" s="18" t="str">
        <f ca="1">SPLIT!E51</f>
        <v>Насос №2. Задание частоты, Гц</v>
      </c>
    </row>
    <row r="54" spans="1:4" ht="12.75">
      <c r="A54" s="16">
        <f ca="1">HEX2DEC(SPLIT!B52)</f>
        <v>68</v>
      </c>
      <c r="B54" s="16" t="str">
        <f ca="1">SPLIT!C52</f>
        <v>real</v>
      </c>
      <c r="C54" s="17" t="str">
        <f ca="1">SPLIT!D52</f>
        <v>Pump2.OutFreq</v>
      </c>
      <c r="D54" s="18" t="str">
        <f ca="1">SPLIT!E52</f>
        <v>Насос №2. Выходная частота, Гц</v>
      </c>
    </row>
    <row r="55" spans="1:4" ht="12.75">
      <c r="A55" s="16">
        <f ca="1">HEX2DEC(SPLIT!B53)</f>
        <v>70</v>
      </c>
      <c r="B55" s="16" t="str">
        <f ca="1">SPLIT!C53</f>
        <v>real</v>
      </c>
      <c r="C55" s="17" t="str">
        <f ca="1">SPLIT!D53</f>
        <v>Pump2.Voltage</v>
      </c>
      <c r="D55" s="18" t="str">
        <f ca="1">SPLIT!E53</f>
        <v>Насос №2. Напряжение двигателя, В</v>
      </c>
    </row>
    <row r="56" spans="1:4" ht="12.75">
      <c r="A56" s="16">
        <f ca="1">HEX2DEC(SPLIT!B54)</f>
        <v>72</v>
      </c>
      <c r="B56" s="16" t="str">
        <f ca="1">SPLIT!C54</f>
        <v>real</v>
      </c>
      <c r="C56" s="17" t="str">
        <f ca="1">SPLIT!D54</f>
        <v>Pump2.Current</v>
      </c>
      <c r="D56" s="18" t="str">
        <f ca="1">SPLIT!E54</f>
        <v>Насос №2. Ток двигателя, А</v>
      </c>
    </row>
    <row r="57" spans="1:4" ht="12.75">
      <c r="A57" s="16">
        <f ca="1">HEX2DEC(SPLIT!B55)</f>
        <v>74</v>
      </c>
      <c r="B57" s="16" t="str">
        <f ca="1">SPLIT!C55</f>
        <v>int</v>
      </c>
      <c r="C57" s="17" t="str">
        <f ca="1">SPLIT!D55</f>
        <v>Pump2.LastFaultCode</v>
      </c>
      <c r="D57" s="18" t="str">
        <f ca="1">SPLIT!E55</f>
        <v>Насос №2. Сохраненый код отказа ПЧ (см. инструкцию ПЧ)</v>
      </c>
    </row>
    <row r="58" spans="1:4" ht="12.75">
      <c r="A58" s="16">
        <f ca="1">HEX2DEC(SPLIT!B56)</f>
        <v>75</v>
      </c>
      <c r="B58" s="16" t="str">
        <f ca="1">SPLIT!C56</f>
        <v>int</v>
      </c>
      <c r="C58" s="17" t="str">
        <f ca="1">SPLIT!D56</f>
        <v>Pump3.Mode</v>
      </c>
      <c r="D58" s="18" t="str">
        <f ca="1">SPLIT!E56</f>
        <v>Насос №3. Режим управления (0-НОЛЬ, 1-МЕСТ, 2-РУЧН, 3-АВТО)</v>
      </c>
    </row>
    <row r="59" spans="1:4" ht="25.5">
      <c r="A59" s="16">
        <f ca="1">HEX2DEC(SPLIT!B57)</f>
        <v>76</v>
      </c>
      <c r="B59" s="16" t="str">
        <f ca="1">SPLIT!C57</f>
        <v>int</v>
      </c>
      <c r="C59" s="17" t="str">
        <f ca="1">SPLIT!D57</f>
        <v>Pump3.State</v>
      </c>
      <c r="D59" s="18" t="str">
        <f ca="1">SPLIT!E57</f>
        <v>Насос №3. Статус (0-не существует, 1-запрещен, 2-авария, 3-работа и пуск, 4-работа без пуска, 5-пуск, 6-стоп)</v>
      </c>
    </row>
    <row r="60" spans="1:4" ht="63.75">
      <c r="A60" s="16">
        <f ca="1">HEX2DEC(SPLIT!B58)</f>
        <v>77</v>
      </c>
      <c r="B60" s="16" t="str">
        <f ca="1">SPLIT!C58</f>
        <v>int</v>
      </c>
      <c r="C60" s="17" t="str">
        <f ca="1">SPLIT!D58</f>
        <v>Pump3.BitState</v>
      </c>
      <c r="D60" s="18" t="str">
        <f ca="1">SPLIT!E58</f>
        <v>Насос №3.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61" spans="1:4" ht="12.75">
      <c r="A61" s="16">
        <f ca="1">HEX2DEC(SPLIT!B59)</f>
        <v>78</v>
      </c>
      <c r="B61" s="16" t="str">
        <f ca="1">SPLIT!C59</f>
        <v>real</v>
      </c>
      <c r="C61" s="17" t="str">
        <f ca="1">SPLIT!D59</f>
        <v>Pump3.RT hh.mm</v>
      </c>
      <c r="D61" s="18" t="str">
        <f ca="1">SPLIT!E59</f>
        <v>Насос №3. Наработка в формате ЧЧ.ММ</v>
      </c>
    </row>
    <row r="62" spans="1:4" ht="12.75">
      <c r="A62" s="16">
        <f ca="1">HEX2DEC(SPLIT!B60)</f>
        <v>80</v>
      </c>
      <c r="B62" s="16" t="str">
        <f ca="1">SPLIT!C60</f>
        <v>long</v>
      </c>
      <c r="C62" s="17" t="str">
        <f ca="1">SPLIT!D60</f>
        <v>Pump3.NumStarts</v>
      </c>
      <c r="D62" s="18" t="str">
        <f ca="1">SPLIT!E60</f>
        <v>Насос №3. Количество пусков</v>
      </c>
    </row>
    <row r="63" spans="1:4" ht="12.75">
      <c r="A63" s="16">
        <f ca="1">HEX2DEC(SPLIT!B61)</f>
        <v>82</v>
      </c>
      <c r="B63" s="16" t="str">
        <f ca="1">SPLIT!C61</f>
        <v>int</v>
      </c>
      <c r="C63" s="17" t="str">
        <f ca="1">SPLIT!D61</f>
        <v>Pump3.MbState</v>
      </c>
      <c r="D63" s="18" t="str">
        <f ca="1">SPLIT!E61</f>
        <v>Насос №3. Статус связи с ПЧ (0-отключен, 1-отказ, 2-норма)</v>
      </c>
    </row>
    <row r="64" spans="1:4" ht="12.75">
      <c r="A64" s="16">
        <f ca="1">HEX2DEC(SPLIT!B62)</f>
        <v>83</v>
      </c>
      <c r="B64" s="16" t="str">
        <f ca="1">SPLIT!C62</f>
        <v>real</v>
      </c>
      <c r="C64" s="17" t="str">
        <f ca="1">SPLIT!D62</f>
        <v>Pump3.TaskFreq</v>
      </c>
      <c r="D64" s="18" t="str">
        <f ca="1">SPLIT!E62</f>
        <v>Насос №3. Задание частоты, Гц</v>
      </c>
    </row>
    <row r="65" spans="1:4" ht="12.75">
      <c r="A65" s="16">
        <f ca="1">HEX2DEC(SPLIT!B63)</f>
        <v>85</v>
      </c>
      <c r="B65" s="16" t="str">
        <f ca="1">SPLIT!C63</f>
        <v>real</v>
      </c>
      <c r="C65" s="17" t="str">
        <f ca="1">SPLIT!D63</f>
        <v>Pump3.OutFreq</v>
      </c>
      <c r="D65" s="18" t="str">
        <f ca="1">SPLIT!E63</f>
        <v>Насос №3. Выходная частота, Гц</v>
      </c>
    </row>
    <row r="66" spans="1:4" ht="12.75">
      <c r="A66" s="16">
        <f ca="1">HEX2DEC(SPLIT!B64)</f>
        <v>87</v>
      </c>
      <c r="B66" s="16" t="str">
        <f ca="1">SPLIT!C64</f>
        <v>real</v>
      </c>
      <c r="C66" s="17" t="str">
        <f ca="1">SPLIT!D64</f>
        <v>Pump3.Voltage</v>
      </c>
      <c r="D66" s="18" t="str">
        <f ca="1">SPLIT!E64</f>
        <v>Насос №3. Напряжение двигателя, В</v>
      </c>
    </row>
    <row r="67" spans="1:4" ht="12.75">
      <c r="A67" s="16">
        <f ca="1">HEX2DEC(SPLIT!B65)</f>
        <v>89</v>
      </c>
      <c r="B67" s="16" t="str">
        <f ca="1">SPLIT!C65</f>
        <v>real</v>
      </c>
      <c r="C67" s="17" t="str">
        <f ca="1">SPLIT!D65</f>
        <v>Pump3.Current</v>
      </c>
      <c r="D67" s="18" t="str">
        <f ca="1">SPLIT!E65</f>
        <v>Насос №3. Ток двигателя, А</v>
      </c>
    </row>
    <row r="68" spans="1:4" ht="12.75">
      <c r="A68" s="16">
        <f ca="1">HEX2DEC(SPLIT!B66)</f>
        <v>91</v>
      </c>
      <c r="B68" s="16" t="str">
        <f ca="1">SPLIT!C66</f>
        <v>int</v>
      </c>
      <c r="C68" s="17" t="str">
        <f ca="1">SPLIT!D66</f>
        <v>Pump3.LastFaultCode</v>
      </c>
      <c r="D68" s="18" t="str">
        <f ca="1">SPLIT!E66</f>
        <v>Насос №3. Сохраненый код отказа ПЧ (см. инструкцию ПЧ)</v>
      </c>
    </row>
    <row r="69" spans="1:4" ht="12.75">
      <c r="A69" s="16">
        <f ca="1">HEX2DEC(SPLIT!B67)</f>
        <v>92</v>
      </c>
      <c r="B69" s="16" t="str">
        <f ca="1">SPLIT!C67</f>
        <v>int</v>
      </c>
      <c r="C69" s="17" t="str">
        <f ca="1">SPLIT!D67</f>
        <v>Pump4.Mode</v>
      </c>
      <c r="D69" s="18" t="str">
        <f ca="1">SPLIT!E67</f>
        <v>Насос №4. Режим управления (0-НОЛЬ, 1-МЕСТ, 2-РУЧН, 3-АВТО)</v>
      </c>
    </row>
    <row r="70" spans="1:4" ht="25.5">
      <c r="A70" s="16">
        <f ca="1">HEX2DEC(SPLIT!B68)</f>
        <v>93</v>
      </c>
      <c r="B70" s="16" t="str">
        <f ca="1">SPLIT!C68</f>
        <v>int</v>
      </c>
      <c r="C70" s="17" t="str">
        <f ca="1">SPLIT!D68</f>
        <v>Pump4.State</v>
      </c>
      <c r="D70" s="18" t="str">
        <f ca="1">SPLIT!E68</f>
        <v>Насос №4. Статус (0-не существует, 1-запрещен, 2-авария, 3-работа и пуск, 4-работа без пуска, 5-пуск, 6-стоп)</v>
      </c>
    </row>
    <row r="71" spans="1:4" ht="63.75">
      <c r="A71" s="16">
        <f ca="1">HEX2DEC(SPLIT!B69)</f>
        <v>94</v>
      </c>
      <c r="B71" s="16" t="str">
        <f ca="1">SPLIT!C69</f>
        <v>int</v>
      </c>
      <c r="C71" s="17" t="str">
        <f ca="1">SPLIT!D69</f>
        <v>Pump4.BitState</v>
      </c>
      <c r="D71" s="18" t="str">
        <f ca="1">SPLIT!E69</f>
        <v>Насос №4.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72" spans="1:4" ht="12.75">
      <c r="A72" s="16">
        <f ca="1">HEX2DEC(SPLIT!B70)</f>
        <v>95</v>
      </c>
      <c r="B72" s="16" t="str">
        <f ca="1">SPLIT!C70</f>
        <v>real</v>
      </c>
      <c r="C72" s="17" t="str">
        <f ca="1">SPLIT!D70</f>
        <v>Pump4.RT hh.mm</v>
      </c>
      <c r="D72" s="18" t="str">
        <f ca="1">SPLIT!E70</f>
        <v>Насос №4. Наработка в формате ЧЧ.ММ</v>
      </c>
    </row>
    <row r="73" spans="1:4" ht="12.75">
      <c r="A73" s="16">
        <f ca="1">HEX2DEC(SPLIT!B71)</f>
        <v>97</v>
      </c>
      <c r="B73" s="16" t="str">
        <f ca="1">SPLIT!C71</f>
        <v>long</v>
      </c>
      <c r="C73" s="17" t="str">
        <f ca="1">SPLIT!D71</f>
        <v>Pump4.NumStarts</v>
      </c>
      <c r="D73" s="18" t="str">
        <f ca="1">SPLIT!E71</f>
        <v>Насос №4. Количество пусков</v>
      </c>
    </row>
    <row r="74" spans="1:4" ht="12.75">
      <c r="A74" s="16">
        <f ca="1">HEX2DEC(SPLIT!B72)</f>
        <v>99</v>
      </c>
      <c r="B74" s="16" t="str">
        <f ca="1">SPLIT!C72</f>
        <v>int</v>
      </c>
      <c r="C74" s="17" t="str">
        <f ca="1">SPLIT!D72</f>
        <v>Pump4.MbState</v>
      </c>
      <c r="D74" s="18" t="str">
        <f ca="1">SPLIT!E72</f>
        <v>Насос №4. Статус связи с ПЧ (0-отключен, 1-отказ, 2-норма)</v>
      </c>
    </row>
    <row r="75" spans="1:4" ht="12.75">
      <c r="A75" s="16">
        <f ca="1">HEX2DEC(SPLIT!B73)</f>
        <v>100</v>
      </c>
      <c r="B75" s="16" t="str">
        <f ca="1">SPLIT!C73</f>
        <v>real</v>
      </c>
      <c r="C75" s="17" t="str">
        <f ca="1">SPLIT!D73</f>
        <v>Pump4.TaskFreq</v>
      </c>
      <c r="D75" s="18" t="str">
        <f ca="1">SPLIT!E73</f>
        <v>Насос №4. Задание частоты, Гц</v>
      </c>
    </row>
    <row r="76" spans="1:4" ht="12.75">
      <c r="A76" s="16">
        <f ca="1">HEX2DEC(SPLIT!B74)</f>
        <v>102</v>
      </c>
      <c r="B76" s="16" t="str">
        <f ca="1">SPLIT!C74</f>
        <v>real</v>
      </c>
      <c r="C76" s="17" t="str">
        <f ca="1">SPLIT!D74</f>
        <v>Pump4.OutFreq</v>
      </c>
      <c r="D76" s="18" t="str">
        <f ca="1">SPLIT!E74</f>
        <v>Насос №4. Выходная частота, Гц</v>
      </c>
    </row>
    <row r="77" spans="1:4" ht="12.75">
      <c r="A77" s="16">
        <f ca="1">HEX2DEC(SPLIT!B75)</f>
        <v>104</v>
      </c>
      <c r="B77" s="16" t="str">
        <f ca="1">SPLIT!C75</f>
        <v>real</v>
      </c>
      <c r="C77" s="17" t="str">
        <f ca="1">SPLIT!D75</f>
        <v>Pump4.Voltage</v>
      </c>
      <c r="D77" s="18" t="str">
        <f ca="1">SPLIT!E75</f>
        <v>Насос №4. Напряжение двигателя, В</v>
      </c>
    </row>
    <row r="78" spans="1:4" ht="12.75">
      <c r="A78" s="16">
        <f ca="1">HEX2DEC(SPLIT!B76)</f>
        <v>106</v>
      </c>
      <c r="B78" s="16" t="str">
        <f ca="1">SPLIT!C76</f>
        <v>real</v>
      </c>
      <c r="C78" s="17" t="str">
        <f ca="1">SPLIT!D76</f>
        <v>Pump4.Current</v>
      </c>
      <c r="D78" s="18" t="str">
        <f ca="1">SPLIT!E76</f>
        <v>Насос №4. Ток двигателя, А</v>
      </c>
    </row>
    <row r="79" spans="1:4" ht="12.75">
      <c r="A79" s="16">
        <f ca="1">HEX2DEC(SPLIT!B77)</f>
        <v>108</v>
      </c>
      <c r="B79" s="16" t="str">
        <f ca="1">SPLIT!C77</f>
        <v>int</v>
      </c>
      <c r="C79" s="17" t="str">
        <f ca="1">SPLIT!D77</f>
        <v>Pump4.LastFaultCode</v>
      </c>
      <c r="D79" s="18" t="str">
        <f ca="1">SPLIT!E77</f>
        <v>Насос №4. Сохраненый код отказа ПЧ (см. инструкцию ПЧ)</v>
      </c>
    </row>
    <row r="80" spans="1:4" ht="12.75">
      <c r="A80" s="16">
        <f ca="1">HEX2DEC(SPLIT!B78)</f>
        <v>109</v>
      </c>
      <c r="B80" s="16" t="str">
        <f ca="1">SPLIT!C78</f>
        <v>int</v>
      </c>
      <c r="C80" s="17" t="str">
        <f ca="1">SPLIT!D78</f>
        <v>Pump5.Mode</v>
      </c>
      <c r="D80" s="18" t="str">
        <f ca="1">SPLIT!E78</f>
        <v>Насос №5. Режим управления (0-НОЛЬ, 1-МЕСТ, 2-РУЧН, 3-АВТО)</v>
      </c>
    </row>
    <row r="81" spans="1:4" ht="25.5">
      <c r="A81" s="16">
        <f ca="1">HEX2DEC(SPLIT!B79)</f>
        <v>110</v>
      </c>
      <c r="B81" s="16" t="str">
        <f ca="1">SPLIT!C79</f>
        <v>int</v>
      </c>
      <c r="C81" s="17" t="str">
        <f ca="1">SPLIT!D79</f>
        <v>Pump5.State</v>
      </c>
      <c r="D81" s="18" t="str">
        <f ca="1">SPLIT!E79</f>
        <v>Насос №5. Статус (0-не существует, 1-запрещен, 2-авария, 3-работа и пуск, 4-работа без пуска, 5-пуск, 6-стоп)</v>
      </c>
    </row>
    <row r="82" spans="1:4" ht="63.75">
      <c r="A82" s="16">
        <f ca="1">HEX2DEC(SPLIT!B80)</f>
        <v>111</v>
      </c>
      <c r="B82" s="16" t="str">
        <f ca="1">SPLIT!C80</f>
        <v>int</v>
      </c>
      <c r="C82" s="17" t="str">
        <f ca="1">SPLIT!D80</f>
        <v>Pump5.BitState</v>
      </c>
      <c r="D82" s="18" t="str">
        <f ca="1">SPLIT!E80</f>
        <v>Насос №5.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83" spans="1:4" ht="12.75">
      <c r="A83" s="16">
        <f ca="1">HEX2DEC(SPLIT!B81)</f>
        <v>112</v>
      </c>
      <c r="B83" s="16" t="str">
        <f ca="1">SPLIT!C81</f>
        <v>real</v>
      </c>
      <c r="C83" s="17" t="str">
        <f ca="1">SPLIT!D81</f>
        <v>Pump5.RT hh.mm</v>
      </c>
      <c r="D83" s="18" t="str">
        <f ca="1">SPLIT!E81</f>
        <v>Насос №5. Наработка в формате ЧЧ.ММ</v>
      </c>
    </row>
    <row r="84" spans="1:4" ht="12.75">
      <c r="A84" s="16">
        <f ca="1">HEX2DEC(SPLIT!B82)</f>
        <v>114</v>
      </c>
      <c r="B84" s="16" t="str">
        <f ca="1">SPLIT!C82</f>
        <v>long</v>
      </c>
      <c r="C84" s="17" t="str">
        <f ca="1">SPLIT!D82</f>
        <v>Pump5.NumStarts</v>
      </c>
      <c r="D84" s="18" t="str">
        <f ca="1">SPLIT!E82</f>
        <v>Насос №5. Количество пусков</v>
      </c>
    </row>
    <row r="85" spans="1:4" ht="12.75">
      <c r="A85" s="16">
        <f ca="1">HEX2DEC(SPLIT!B83)</f>
        <v>116</v>
      </c>
      <c r="B85" s="16" t="str">
        <f ca="1">SPLIT!C83</f>
        <v>int</v>
      </c>
      <c r="C85" s="17" t="str">
        <f ca="1">SPLIT!D83</f>
        <v>Pump5.MbState</v>
      </c>
      <c r="D85" s="18" t="str">
        <f ca="1">SPLIT!E83</f>
        <v>Насос №5. Статус связи с ПЧ (0-отключен, 1-отказ, 2-норма)</v>
      </c>
    </row>
    <row r="86" spans="1:4" ht="12.75">
      <c r="A86" s="16">
        <f ca="1">HEX2DEC(SPLIT!B84)</f>
        <v>117</v>
      </c>
      <c r="B86" s="16" t="str">
        <f ca="1">SPLIT!C84</f>
        <v>real</v>
      </c>
      <c r="C86" s="17" t="str">
        <f ca="1">SPLIT!D84</f>
        <v>Pump5.TaskFreq</v>
      </c>
      <c r="D86" s="18" t="str">
        <f ca="1">SPLIT!E84</f>
        <v>Насос №5. Задание частоты, Гц</v>
      </c>
    </row>
    <row r="87" spans="1:4" ht="12.75">
      <c r="A87" s="16">
        <f ca="1">HEX2DEC(SPLIT!B85)</f>
        <v>119</v>
      </c>
      <c r="B87" s="16" t="str">
        <f ca="1">SPLIT!C85</f>
        <v>real</v>
      </c>
      <c r="C87" s="17" t="str">
        <f ca="1">SPLIT!D85</f>
        <v>Pump5.OutFreq</v>
      </c>
      <c r="D87" s="18" t="str">
        <f ca="1">SPLIT!E85</f>
        <v>Насос №5. Выходная частота, Гц</v>
      </c>
    </row>
    <row r="88" spans="1:4" ht="12.75">
      <c r="A88" s="16">
        <f ca="1">HEX2DEC(SPLIT!B86)</f>
        <v>121</v>
      </c>
      <c r="B88" s="16" t="str">
        <f ca="1">SPLIT!C86</f>
        <v>real</v>
      </c>
      <c r="C88" s="17" t="str">
        <f ca="1">SPLIT!D86</f>
        <v>Pump5.Voltage</v>
      </c>
      <c r="D88" s="18" t="str">
        <f ca="1">SPLIT!E86</f>
        <v>Насос №5. Напряжение двигателя, В</v>
      </c>
    </row>
    <row r="89" spans="1:4" ht="12.75">
      <c r="A89" s="16">
        <f ca="1">HEX2DEC(SPLIT!B87)</f>
        <v>123</v>
      </c>
      <c r="B89" s="16" t="str">
        <f ca="1">SPLIT!C87</f>
        <v>real</v>
      </c>
      <c r="C89" s="17" t="str">
        <f ca="1">SPLIT!D87</f>
        <v>Pump5.Current</v>
      </c>
      <c r="D89" s="18" t="str">
        <f ca="1">SPLIT!E87</f>
        <v>Насос №5. Ток двигателя, А</v>
      </c>
    </row>
    <row r="90" spans="1:4" ht="12.75">
      <c r="A90" s="16">
        <f ca="1">HEX2DEC(SPLIT!B88)</f>
        <v>125</v>
      </c>
      <c r="B90" s="16" t="str">
        <f ca="1">SPLIT!C88</f>
        <v>int</v>
      </c>
      <c r="C90" s="17" t="str">
        <f ca="1">SPLIT!D88</f>
        <v>Pump5.LastFaultCode</v>
      </c>
      <c r="D90" s="18" t="str">
        <f ca="1">SPLIT!E88</f>
        <v>Насос №5. Сохраненый код отказа ПЧ (см. инструкцию ПЧ)</v>
      </c>
    </row>
    <row r="91" spans="1:4" ht="12.75">
      <c r="A91" s="16">
        <f ca="1">HEX2DEC(SPLIT!B89)</f>
        <v>126</v>
      </c>
      <c r="B91" s="16" t="str">
        <f ca="1">SPLIT!C89</f>
        <v>int</v>
      </c>
      <c r="C91" s="17" t="str">
        <f ca="1">SPLIT!D89</f>
        <v>Pump6.Mode</v>
      </c>
      <c r="D91" s="18" t="str">
        <f ca="1">SPLIT!E89</f>
        <v>Насос №6. Режим управления (0-НОЛЬ, 1-МЕСТ, 2-РУЧН, 3-АВТО)</v>
      </c>
    </row>
    <row r="92" spans="1:4" ht="25.5">
      <c r="A92" s="16">
        <f ca="1">HEX2DEC(SPLIT!B90)</f>
        <v>127</v>
      </c>
      <c r="B92" s="16" t="str">
        <f ca="1">SPLIT!C90</f>
        <v>int</v>
      </c>
      <c r="C92" s="17" t="str">
        <f ca="1">SPLIT!D90</f>
        <v>Pump6.State</v>
      </c>
      <c r="D92" s="18" t="str">
        <f ca="1">SPLIT!E90</f>
        <v>Насос №6. Статус (0-не существует, 1-запрещен, 2-авария, 3-работа и пуск, 4-работа без пуска, 5-пуск, 6-стоп)</v>
      </c>
    </row>
    <row r="93" spans="1:4" ht="63.75">
      <c r="A93" s="16">
        <f ca="1">HEX2DEC(SPLIT!B91)</f>
        <v>128</v>
      </c>
      <c r="B93" s="16" t="str">
        <f ca="1">SPLIT!C91</f>
        <v>int</v>
      </c>
      <c r="C93" s="17" t="str">
        <f ca="1">SPLIT!D91</f>
        <v>Pump6.BitState</v>
      </c>
      <c r="D93" s="18" t="str">
        <f ca="1">SPLIT!E91</f>
        <v>Насос №6.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94" spans="1:4" ht="12.75">
      <c r="A94" s="16">
        <f ca="1">HEX2DEC(SPLIT!B92)</f>
        <v>129</v>
      </c>
      <c r="B94" s="16" t="str">
        <f ca="1">SPLIT!C92</f>
        <v>real</v>
      </c>
      <c r="C94" s="17" t="str">
        <f ca="1">SPLIT!D92</f>
        <v>Pump6.RT hh.mm</v>
      </c>
      <c r="D94" s="18" t="str">
        <f ca="1">SPLIT!E92</f>
        <v>Насос №6. Наработка в формате ЧЧ.ММ</v>
      </c>
    </row>
    <row r="95" spans="1:4" ht="12.75">
      <c r="A95" s="16">
        <f ca="1">HEX2DEC(SPLIT!B93)</f>
        <v>131</v>
      </c>
      <c r="B95" s="16" t="str">
        <f ca="1">SPLIT!C93</f>
        <v>long</v>
      </c>
      <c r="C95" s="17" t="str">
        <f ca="1">SPLIT!D93</f>
        <v>Pump6.NumStarts</v>
      </c>
      <c r="D95" s="18" t="str">
        <f ca="1">SPLIT!E93</f>
        <v>Насос №6. Количество пусков</v>
      </c>
    </row>
    <row r="96" spans="1:4" ht="12.75">
      <c r="A96" s="16">
        <f ca="1">HEX2DEC(SPLIT!B94)</f>
        <v>133</v>
      </c>
      <c r="B96" s="16" t="str">
        <f ca="1">SPLIT!C94</f>
        <v>int</v>
      </c>
      <c r="C96" s="17" t="str">
        <f ca="1">SPLIT!D94</f>
        <v>Pump6.MbState</v>
      </c>
      <c r="D96" s="18" t="str">
        <f ca="1">SPLIT!E94</f>
        <v>Насос №6. Статус связи с ПЧ (0-отключен, 1-отказ, 2-норма)</v>
      </c>
    </row>
    <row r="97" spans="1:4" ht="12.75">
      <c r="A97" s="16">
        <f ca="1">HEX2DEC(SPLIT!B95)</f>
        <v>134</v>
      </c>
      <c r="B97" s="16" t="str">
        <f ca="1">SPLIT!C95</f>
        <v>real</v>
      </c>
      <c r="C97" s="17" t="str">
        <f ca="1">SPLIT!D95</f>
        <v>Pump6.TaskFreq</v>
      </c>
      <c r="D97" s="18" t="str">
        <f ca="1">SPLIT!E95</f>
        <v>Насос №6. Задание частоты, Гц</v>
      </c>
    </row>
    <row r="98" spans="1:4" ht="12.75">
      <c r="A98" s="16">
        <f ca="1">HEX2DEC(SPLIT!B96)</f>
        <v>136</v>
      </c>
      <c r="B98" s="16" t="str">
        <f ca="1">SPLIT!C96</f>
        <v>real</v>
      </c>
      <c r="C98" s="17" t="str">
        <f ca="1">SPLIT!D96</f>
        <v>Pump6.OutFreq</v>
      </c>
      <c r="D98" s="18" t="str">
        <f ca="1">SPLIT!E96</f>
        <v>Насос №6. Выходная частота, Гц</v>
      </c>
    </row>
    <row r="99" spans="1:4" ht="12.75">
      <c r="A99" s="16">
        <f ca="1">HEX2DEC(SPLIT!B97)</f>
        <v>138</v>
      </c>
      <c r="B99" s="16" t="str">
        <f ca="1">SPLIT!C97</f>
        <v>real</v>
      </c>
      <c r="C99" s="17" t="str">
        <f ca="1">SPLIT!D97</f>
        <v>Pump6.Voltage</v>
      </c>
      <c r="D99" s="18" t="str">
        <f ca="1">SPLIT!E97</f>
        <v>Насос №6. Напряжение двигателя, В</v>
      </c>
    </row>
    <row r="100" spans="1:4" ht="12.75">
      <c r="A100" s="16">
        <f ca="1">HEX2DEC(SPLIT!B98)</f>
        <v>140</v>
      </c>
      <c r="B100" s="16" t="str">
        <f ca="1">SPLIT!C98</f>
        <v>real</v>
      </c>
      <c r="C100" s="17" t="str">
        <f ca="1">SPLIT!D98</f>
        <v>Pump6.Current</v>
      </c>
      <c r="D100" s="18" t="str">
        <f ca="1">SPLIT!E98</f>
        <v>Насос №6. Ток двигателя, А</v>
      </c>
    </row>
    <row r="101" spans="1:4" ht="12.75">
      <c r="A101" s="16">
        <f ca="1">HEX2DEC(SPLIT!B99)</f>
        <v>142</v>
      </c>
      <c r="B101" s="16" t="str">
        <f ca="1">SPLIT!C99</f>
        <v>int</v>
      </c>
      <c r="C101" s="17" t="str">
        <f ca="1">SPLIT!D99</f>
        <v>Pump6.LastFaultCode</v>
      </c>
      <c r="D101" s="18" t="str">
        <f ca="1">SPLIT!E99</f>
        <v>Насос №6. Сохраненый код отказа ПЧ (см. инструкцию ПЧ)</v>
      </c>
    </row>
    <row r="102" spans="1:4" ht="12.75">
      <c r="A102" s="16">
        <f ca="1">HEX2DEC(SPLIT!B100)</f>
        <v>143</v>
      </c>
      <c r="B102" s="16" t="str">
        <f ca="1">SPLIT!C100</f>
        <v>real</v>
      </c>
      <c r="C102" s="17" t="str">
        <f ca="1">SPLIT!D100</f>
        <v>TE.Value</v>
      </c>
      <c r="D102" s="18" t="str">
        <f ca="1">SPLIT!E100</f>
        <v>Датчик температуры. Значение, °С</v>
      </c>
    </row>
    <row r="103" spans="1:4" ht="25.5">
      <c r="A103" s="16">
        <f ca="1">HEX2DEC(SPLIT!B101)</f>
        <v>145</v>
      </c>
      <c r="B103" s="16" t="str">
        <f ca="1">SPLIT!C101</f>
        <v>int</v>
      </c>
      <c r="C103" s="17" t="str">
        <f ca="1">SPLIT!D101</f>
        <v>TE.State</v>
      </c>
      <c r="D103" s="18" t="str">
        <f ca="1">SPLIT!E101</f>
        <v>Датчик температуры. Cтатус (0-запрещен, 1-тест, 2-авария модуля, 3-отказ,нижний предел, 4-отказ,верхний предел, 5-норма)</v>
      </c>
    </row>
    <row r="104" spans="1:4" ht="38.25">
      <c r="A104" s="16">
        <f ca="1">HEX2DEC(SPLIT!B102)</f>
        <v>146</v>
      </c>
      <c r="B104" s="16" t="str">
        <f ca="1">SPLIT!C102</f>
        <v>int</v>
      </c>
      <c r="C104" s="17" t="str">
        <f ca="1">SPLIT!D102</f>
        <v>TE.BitState</v>
      </c>
      <c r="D104" s="18" t="str">
        <f ca="1">SPLIT!E102</f>
        <v>Датчик температуры. Побитовый статус (b0-разрешен, b1-тест, b2-отказ(общий), b3-авария модуля, b4-отказ,нижний предел, b5-отказ,верхний предел, b6-готов, b7-не готов)</v>
      </c>
    </row>
    <row r="105" spans="1:4" ht="127.5">
      <c r="A105" s="16">
        <f ca="1">HEX2DEC(SPLIT!B103)</f>
        <v>147</v>
      </c>
      <c r="B105" s="16" t="str">
        <f ca="1">SPLIT!C103</f>
        <v>int</v>
      </c>
      <c r="C105" s="17" t="str">
        <f ca="1">SPLIT!D103</f>
        <v>Journal.AlarmWord3</v>
      </c>
      <c r="D105" s="18" t="str">
        <f ca="1">SPLIT!E103</f>
        <v>Журнал. Слово аварий №3 (b0-Задвижка1.Авария, b1-Задвижка1.Авария времени открытия, b2-Задвижка1.Авария времени закрытия, b3-Задвижка2.Авария, b4-Задвижка2.Авария времени открытия, b5-Задвижка2.Авария времени закрытия, b6-Резервуар1.Авария поплавков, b7-Резервуар1.Аварийно-низкий уровень, b8-Резервуар1.Аварийно-высокий уровень, b9-Резервуар2.Авария поплавков, b10-Резервуар2.Аварийно-низкий уровень, b11-Резервуар2.Аварийно-высокий уровень, b12-FMR1.Нет связи, b13-Датчик давления на выходе2.Авария, b14-Протечка, b15-Аварийно низкая температура в насосной)</v>
      </c>
    </row>
    <row r="106" spans="1:4" ht="89.25">
      <c r="A106" s="16">
        <f ca="1">HEX2DEC(SPLIT!B104)</f>
        <v>148</v>
      </c>
      <c r="B106" s="16" t="str">
        <f ca="1">SPLIT!C104</f>
        <v>int</v>
      </c>
      <c r="C106" s="17" t="str">
        <f ca="1">SPLIT!D104</f>
        <v>Bak1.LS.Bits</v>
      </c>
      <c r="D106" s="18" t="str">
        <f ca="1">SPLIT!E104</f>
        <v>Резервуар №1. Поплавки. Побитовый статус (b0-Поплавок АНУ. Разрешен, b1-Поплавок АНУ. Замкнут, b2-Поплавок АНУ. Разомкнут, b3-Поплавок НУ. Разрешен, b4-Поплавок НУ. Замкнут, b5-Поплавок НУ. Разомкнут, b6-Поплавок ВУ. Разрешен, b7-Поплавок ВУ. Замкнут, b8-Поплавок ВУ. Разомкнут, b9-Поплавок АВУ. Разрешен, b10-Поплавок АВУ. Замкнут, b11-Поплавок АВУ. Разомкнут, b12-Авария поплавков)</v>
      </c>
    </row>
    <row r="107" spans="1:4" ht="12.75">
      <c r="A107" s="16">
        <f ca="1">HEX2DEC(SPLIT!B105)</f>
        <v>149</v>
      </c>
      <c r="B107" s="16" t="str">
        <f ca="1">SPLIT!C105</f>
        <v>real</v>
      </c>
      <c r="C107" s="17" t="str">
        <f ca="1">SPLIT!D105</f>
        <v>Bak1.Level</v>
      </c>
      <c r="D107" s="18" t="str">
        <f ca="1">SPLIT!E105</f>
        <v>Резервуар №1. Уровень, метры</v>
      </c>
    </row>
    <row r="108" spans="1:4" ht="89.25">
      <c r="A108" s="16">
        <f ca="1">HEX2DEC(SPLIT!B106)</f>
        <v>151</v>
      </c>
      <c r="B108" s="16" t="str">
        <f ca="1">SPLIT!C106</f>
        <v>int</v>
      </c>
      <c r="C108" s="17" t="str">
        <f ca="1">SPLIT!D106</f>
        <v>Bak2.LS.Bits</v>
      </c>
      <c r="D108" s="18" t="str">
        <f ca="1">SPLIT!E106</f>
        <v>Резервуар №2. Поплавки. Побитовый статус (b0-Поплавок АНУ. Разрешен, b1-Поплавок АНУ. Замкнут, b2-Поплавок АНУ. Разомкнут, b3-Поплавок НУ. Разрешен, b4-Поплавок НУ. Замкнут, b5-Поплавок НУ. Разомкнут, b6-Поплавок ВУ. Разрешен, b7-Поплавок ВУ. Замкнут, b8-Поплавок ВУ. Разомкнут, b9-Поплавок АВУ. Разрешен, b10-Поплавок АВУ. Замкнут, b11-Поплавок АВУ. Разомкнут, b12-Авария поплавков)</v>
      </c>
    </row>
    <row r="109" spans="1:4" ht="12.75">
      <c r="A109" s="16">
        <f ca="1">HEX2DEC(SPLIT!B107)</f>
        <v>152</v>
      </c>
      <c r="B109" s="16" t="str">
        <f ca="1">SPLIT!C107</f>
        <v>real</v>
      </c>
      <c r="C109" s="17" t="str">
        <f ca="1">SPLIT!D107</f>
        <v>Bak2.Level</v>
      </c>
      <c r="D109" s="18" t="str">
        <f ca="1">SPLIT!E107</f>
        <v>Резервуар №2. Уровень, метры</v>
      </c>
    </row>
    <row r="110" spans="1:4" ht="12.75">
      <c r="A110" s="16">
        <f ca="1">HEX2DEC(SPLIT!B108)</f>
        <v>154</v>
      </c>
      <c r="B110" s="16" t="str">
        <f ca="1">SPLIT!C108</f>
        <v>int</v>
      </c>
      <c r="C110" s="17" t="str">
        <f ca="1">SPLIT!D108</f>
        <v>Valve1.Mode</v>
      </c>
      <c r="D110" s="18" t="str">
        <f ca="1">SPLIT!E108</f>
        <v>Задвижка №1. Режим управления (0-НОЛЬ, 1-МЕСТ, 2-РУЧН, 3-АВТО)</v>
      </c>
    </row>
    <row r="111" spans="1:4" ht="38.25">
      <c r="A111" s="16">
        <f ca="1">HEX2DEC(SPLIT!B109)</f>
        <v>155</v>
      </c>
      <c r="B111" s="16" t="str">
        <f ca="1">SPLIT!C109</f>
        <v>int</v>
      </c>
      <c r="C111" s="17" t="str">
        <f ca="1">SPLIT!D109</f>
        <v>Valve1.Pos.State</v>
      </c>
      <c r="D111" s="18" t="str">
        <f ca="1">SPLIT!E109</f>
        <v>Задвижка №1. Статус положения (0-не существует, 1-активны обе команды, 2-открывается, 3-закрывается, 4-открыта+закрыта, 5-открыта, 6-закрыта, 7-среднее)</v>
      </c>
    </row>
    <row r="112" spans="1:4" ht="25.5">
      <c r="A112" s="16">
        <f ca="1">HEX2DEC(SPLIT!B110)</f>
        <v>156</v>
      </c>
      <c r="B112" s="16" t="str">
        <f ca="1">SPLIT!C110</f>
        <v>int</v>
      </c>
      <c r="C112" s="17" t="str">
        <f ca="1">SPLIT!D110</f>
        <v>Valve1.Alarm.State</v>
      </c>
      <c r="D112" s="18" t="str">
        <f ca="1">SPLIT!E110</f>
        <v>Задвижка №1. Статус аварий (0-нет аварий, 2-авария, 7-превышено время открытия, 8-превышено время закрытия )</v>
      </c>
    </row>
    <row r="113" spans="1:4" ht="12.75">
      <c r="A113" s="16">
        <f ca="1">HEX2DEC(SPLIT!B111)</f>
        <v>157</v>
      </c>
      <c r="B113" s="16" t="str">
        <f ca="1">SPLIT!C111</f>
        <v>int</v>
      </c>
      <c r="C113" s="17" t="str">
        <f ca="1">SPLIT!D111</f>
        <v>Valve2.Mode</v>
      </c>
      <c r="D113" s="18" t="str">
        <f ca="1">SPLIT!E111</f>
        <v>Задвижка №2. Режим управления (0-НОЛЬ, 1-МЕСТ, 2-РУЧН, 3-АВТО)</v>
      </c>
    </row>
    <row r="114" spans="1:4" ht="38.25">
      <c r="A114" s="16">
        <f ca="1">HEX2DEC(SPLIT!B112)</f>
        <v>158</v>
      </c>
      <c r="B114" s="16" t="str">
        <f ca="1">SPLIT!C112</f>
        <v>int</v>
      </c>
      <c r="C114" s="17" t="str">
        <f ca="1">SPLIT!D112</f>
        <v>Valve2.Pos.State</v>
      </c>
      <c r="D114" s="18" t="str">
        <f ca="1">SPLIT!E112</f>
        <v>Задвижка №2. Статус положения (0-не существует, 1-активны обе команды, 2-открывается, 3-закрывается, 4-открыта+закрыта, 5-открыта, 6-закрыта, 7-среднее)</v>
      </c>
    </row>
    <row r="115" spans="1:4" ht="25.5">
      <c r="A115" s="16">
        <f ca="1">HEX2DEC(SPLIT!B113)</f>
        <v>159</v>
      </c>
      <c r="B115" s="16" t="str">
        <f ca="1">SPLIT!C113</f>
        <v>int</v>
      </c>
      <c r="C115" s="17" t="str">
        <f ca="1">SPLIT!D113</f>
        <v>Valve2.Alarm.State</v>
      </c>
      <c r="D115" s="18" t="str">
        <f ca="1">SPLIT!E113</f>
        <v>Задвижка №2. Статус аварий (0-нет аварий, 2-авария, 7-превышено время открытия, 8-превышено время закрытия )</v>
      </c>
    </row>
    <row r="116" spans="1:4" ht="12.75">
      <c r="A116" s="16">
        <f ca="1">HEX2DEC(SPLIT!B114)</f>
        <v>160</v>
      </c>
      <c r="B116" s="16" t="str">
        <f ca="1">SPLIT!C114</f>
        <v>real</v>
      </c>
      <c r="C116" s="17" t="str">
        <f ca="1">SPLIT!D114</f>
        <v>PE_in2.Value</v>
      </c>
      <c r="D116" s="18" t="str">
        <f ca="1">SPLIT!E114</f>
        <v>Датчик давления на входе №2. Значение, бар</v>
      </c>
    </row>
    <row r="117" spans="1:4" ht="25.5">
      <c r="A117" s="16">
        <f ca="1">HEX2DEC(SPLIT!B115)</f>
        <v>162</v>
      </c>
      <c r="B117" s="16" t="str">
        <f ca="1">SPLIT!C115</f>
        <v>int</v>
      </c>
      <c r="C117" s="17" t="str">
        <f ca="1">SPLIT!D115</f>
        <v>PE_in2.State</v>
      </c>
      <c r="D117" s="18" t="str">
        <f ca="1">SPLIT!E115</f>
        <v>Датчик давления на входе №2. Cтатус (0-запрещен, 1-тест, 2-авария модуля, 3-отказ,нижний предел, 4-отказ,верхний предел, 5-норма)</v>
      </c>
    </row>
    <row r="118" spans="1:4" ht="38.25">
      <c r="A118" s="16">
        <f ca="1">HEX2DEC(SPLIT!B116)</f>
        <v>163</v>
      </c>
      <c r="B118" s="16" t="str">
        <f ca="1">SPLIT!C116</f>
        <v>int</v>
      </c>
      <c r="C118" s="17" t="str">
        <f ca="1">SPLIT!D116</f>
        <v>PE_in2.BitState</v>
      </c>
      <c r="D118" s="18" t="str">
        <f ca="1">SPLIT!E116</f>
        <v>Датчик давления на входе №2. Побитовый статус (b0-разрешен, b1-тест, b2-отказ(общий), b3-авария модуля, b4-отказ,нижний предел, b5-отказ,верхний предел, b6-готов, b7-не готов)</v>
      </c>
    </row>
    <row r="119" spans="1:4" ht="51">
      <c r="A119" s="16">
        <f ca="1">HEX2DEC(SPLIT!B117)</f>
        <v>164</v>
      </c>
      <c r="B119" s="16" t="str">
        <f ca="1">SPLIT!C117</f>
        <v>int</v>
      </c>
      <c r="C119" s="17" t="str">
        <f ca="1">SPLIT!D117</f>
        <v>Journal.AlarmWord4</v>
      </c>
      <c r="D119" s="18" t="str">
        <f ca="1">SPLIT!E117</f>
        <v>Журнал. Слово аварий №4 (b0-Датчик давления на входе №2.Авария, b1-Общий ПЧ.Нет связи, b2-Общий ПЧ.Авария, b3-FMR2.Нет связи, b4-FMR3.Нет связи, b5-ПОЖАР, b6-, b7-, b8-, b9-, b10-, b11-, b12-, b13-, b14-, b15-)</v>
      </c>
    </row>
    <row r="120" spans="1:4" ht="12.75">
      <c r="A120" s="16">
        <f ca="1">HEX2DEC(SPLIT!B118)</f>
        <v>165</v>
      </c>
      <c r="B120" s="16" t="str">
        <f ca="1">SPLIT!C118</f>
        <v>int</v>
      </c>
      <c r="C120" s="17" t="str">
        <f ca="1">SPLIT!D118</f>
        <v>CmnAlarm Int</v>
      </c>
      <c r="D120" s="18" t="str">
        <f ca="1">SPLIT!E118</f>
        <v>Общая авария</v>
      </c>
    </row>
    <row r="121" spans="1:4" ht="12.75">
      <c r="A121" s="29" t="s">
        <v>224</v>
      </c>
      <c r="B121" s="30"/>
      <c r="C121" s="30"/>
      <c r="D121" s="31"/>
    </row>
    <row r="122" spans="1:4" ht="38.25">
      <c r="A122" s="28">
        <f ca="1">HEX2DEC(SPLIT!B125)</f>
        <v>1</v>
      </c>
      <c r="B122" s="28" t="str">
        <f ca="1">SPLIT!C125</f>
        <v>int</v>
      </c>
      <c r="C122" s="17" t="str">
        <f ca="1">SPLIT!D125</f>
        <v>SysCmdWord</v>
      </c>
      <c r="D122" s="18" t="str">
        <f ca="1">SPLIT!E125</f>
        <v>Слово управления станцией (b0-активировать режим АВТО, b1-активировать режим РУЧН, b2-сброс аварий, b3-сброс связи SMConnect)</v>
      </c>
    </row>
    <row r="123" spans="1:4" ht="63.75">
      <c r="A123" s="28">
        <f ca="1">HEX2DEC(SPLIT!B126)</f>
        <v>2</v>
      </c>
      <c r="B123" s="28" t="str">
        <f ca="1">SPLIT!C126</f>
        <v>int</v>
      </c>
      <c r="C123" s="17" t="str">
        <f ca="1">SPLIT!D126</f>
        <v>Pump1.MbCmdWord</v>
      </c>
      <c r="D123" s="18" t="str">
        <f ca="1">SPLIT!E126</f>
        <v>Насос №1.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4" spans="1:4" ht="63.75">
      <c r="A124" s="28">
        <f ca="1">HEX2DEC(SPLIT!B127)</f>
        <v>3</v>
      </c>
      <c r="B124" s="28" t="str">
        <f ca="1">SPLIT!C127</f>
        <v>int</v>
      </c>
      <c r="C124" s="17" t="str">
        <f ca="1">SPLIT!D127</f>
        <v>Pump2.MbCmdWord</v>
      </c>
      <c r="D124" s="18" t="str">
        <f ca="1">SPLIT!E127</f>
        <v>Насос №2.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5" spans="1:4" ht="63.75">
      <c r="A125" s="28">
        <f ca="1">HEX2DEC(SPLIT!B128)</f>
        <v>4</v>
      </c>
      <c r="B125" s="28" t="str">
        <f ca="1">SPLIT!C128</f>
        <v>int</v>
      </c>
      <c r="C125" s="17" t="str">
        <f ca="1">SPLIT!D128</f>
        <v>Pump3.MbCmdWord</v>
      </c>
      <c r="D125" s="18" t="str">
        <f ca="1">SPLIT!E128</f>
        <v>Насос №3.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6" spans="1:4" ht="63.75">
      <c r="A126" s="28">
        <f ca="1">HEX2DEC(SPLIT!B129)</f>
        <v>5</v>
      </c>
      <c r="B126" s="28" t="str">
        <f ca="1">SPLIT!C129</f>
        <v>int</v>
      </c>
      <c r="C126" s="17" t="str">
        <f ca="1">SPLIT!D129</f>
        <v>Pump4.MbCmdWord</v>
      </c>
      <c r="D126" s="18" t="str">
        <f ca="1">SPLIT!E129</f>
        <v>Насос №4.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7" spans="1:4" ht="63.75">
      <c r="A127" s="28">
        <f ca="1">HEX2DEC(SPLIT!B130)</f>
        <v>6</v>
      </c>
      <c r="B127" s="28" t="str">
        <f ca="1">SPLIT!C130</f>
        <v>int</v>
      </c>
      <c r="C127" s="17" t="str">
        <f ca="1">SPLIT!D130</f>
        <v>Pump5.MbCmdWord</v>
      </c>
      <c r="D127" s="18" t="str">
        <f ca="1">SPLIT!E130</f>
        <v>Насос №5.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8" spans="1:4" ht="63.75">
      <c r="A128" s="28">
        <f ca="1">HEX2DEC(SPLIT!B131)</f>
        <v>7</v>
      </c>
      <c r="B128" s="28" t="str">
        <f ca="1">SPLIT!C131</f>
        <v>int</v>
      </c>
      <c r="C128" s="17" t="str">
        <f ca="1">SPLIT!D131</f>
        <v>Pump6.MbCmdWord</v>
      </c>
      <c r="D128" s="18" t="str">
        <f ca="1">SPLIT!E131</f>
        <v>Насос №6.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9" spans="1:4" ht="12.75">
      <c r="A129" s="28">
        <f ca="1">HEX2DEC(SPLIT!B132)</f>
        <v>8</v>
      </c>
      <c r="B129" s="28" t="str">
        <f ca="1">SPLIT!C132</f>
        <v>real</v>
      </c>
      <c r="C129" s="17" t="str">
        <f ca="1">SPLIT!D132</f>
        <v>Setpoint (RW)</v>
      </c>
      <c r="D129" s="18" t="str">
        <f ca="1">SPLIT!E132</f>
        <v>Уставка (запись)</v>
      </c>
    </row>
    <row r="130" spans="1:4" ht="12.75">
      <c r="A130" s="28">
        <f ca="1">HEX2DEC(SPLIT!B133)</f>
        <v>10</v>
      </c>
      <c r="B130" s="28" t="str">
        <f ca="1">SPLIT!C133</f>
        <v>real</v>
      </c>
      <c r="C130" s="17" t="str">
        <f ca="1">SPLIT!D133</f>
        <v>Setpoint2 (RW)</v>
      </c>
      <c r="D130" s="18" t="str">
        <f ca="1">SPLIT!E133</f>
        <v>Уставка №2 (запись)</v>
      </c>
    </row>
    <row r="131" spans="1:4" ht="12.75">
      <c r="A131" s="28">
        <f ca="1">HEX2DEC(SPLIT!B134)</f>
        <v>12</v>
      </c>
      <c r="B131" s="28" t="str">
        <f ca="1">SPLIT!C134</f>
        <v>real</v>
      </c>
      <c r="C131" s="17" t="str">
        <f ca="1">SPLIT!D134</f>
        <v>Bak1.LE.Value (RW)</v>
      </c>
      <c r="D131" s="18" t="str">
        <f ca="1">SPLIT!E134</f>
        <v>Резервуар №1. Датчик уровня. Значение, метры (запись)</v>
      </c>
    </row>
    <row r="132" spans="1:4" ht="12.75">
      <c r="A132" s="28">
        <f ca="1">HEX2DEC(SPLIT!B135)</f>
        <v>14</v>
      </c>
      <c r="B132" s="28" t="str">
        <f ca="1">SPLIT!C135</f>
        <v>real</v>
      </c>
      <c r="C132" s="17" t="str">
        <f ca="1">SPLIT!D135</f>
        <v>Bak2.LE.Value (RW)</v>
      </c>
      <c r="D132" s="18" t="str">
        <f ca="1">SPLIT!E135</f>
        <v>Резервуар №2. Датчик уровня. Значение, метры (запись)</v>
      </c>
    </row>
  </sheetData>
  <mergeCells count="3">
    <mergeCell ref="A3:D3"/>
    <mergeCell ref="A121:D121"/>
    <mergeCell ref="A1:D1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20"/>
  <sheetViews>
    <sheetView workbookViewId="0" topLeftCell="A1">
      <selection activeCell="A1" sqref="A1:B1"/>
    </sheetView>
  </sheetViews>
  <sheetFormatPr defaultColWidth="14.421875" defaultRowHeight="15.75" customHeight="1"/>
  <cols>
    <col min="1" max="1" width="18.00390625" style="0" customWidth="1"/>
    <col min="2" max="2" width="18.28125" style="0" customWidth="1"/>
  </cols>
  <sheetData>
    <row r="1" spans="1:2" ht="15.75" customHeight="1">
      <c r="A1" s="32" t="s">
        <v>2</v>
      </c>
      <c r="B1" s="31"/>
    </row>
    <row r="2" spans="1:3" ht="15.75" customHeight="1">
      <c r="A2" s="2" t="s">
        <v>4</v>
      </c>
      <c r="B2" s="3" t="s">
        <v>5</v>
      </c>
      <c r="C2" s="5"/>
    </row>
    <row r="3" spans="1:3" ht="15.75" customHeight="1">
      <c r="A3" s="2" t="s">
        <v>6</v>
      </c>
      <c r="B3" s="3" t="s">
        <v>7</v>
      </c>
      <c r="C3" s="5"/>
    </row>
    <row r="4" spans="1:3" ht="15.75" customHeight="1">
      <c r="A4" s="2" t="s">
        <v>8</v>
      </c>
      <c r="B4" s="3">
        <v>9600</v>
      </c>
      <c r="C4" s="5"/>
    </row>
    <row r="5" spans="1:3" ht="15.75" customHeight="1">
      <c r="A5" s="2" t="s">
        <v>9</v>
      </c>
      <c r="B5" s="3">
        <v>8</v>
      </c>
      <c r="C5" s="5"/>
    </row>
    <row r="6" spans="1:3" ht="15.75" customHeight="1">
      <c r="A6" s="10" t="s">
        <v>10</v>
      </c>
      <c r="B6" s="11" t="s">
        <v>17</v>
      </c>
      <c r="C6" s="12"/>
    </row>
    <row r="7" spans="1:3" ht="15.75" customHeight="1">
      <c r="A7" s="10" t="s">
        <v>18</v>
      </c>
      <c r="B7" s="11">
        <v>2</v>
      </c>
      <c r="C7" s="12"/>
    </row>
    <row r="8" spans="1:2" ht="15.75" customHeight="1">
      <c r="A8" s="32" t="s">
        <v>19</v>
      </c>
      <c r="B8" s="31"/>
    </row>
    <row r="9" spans="1:2" ht="15.75" customHeight="1">
      <c r="A9" s="2" t="s">
        <v>4</v>
      </c>
      <c r="B9" s="14" t="s">
        <v>5</v>
      </c>
    </row>
    <row r="10" spans="1:2" ht="15.75" customHeight="1">
      <c r="A10" s="2" t="s">
        <v>6</v>
      </c>
      <c r="B10" s="14">
        <v>1</v>
      </c>
    </row>
    <row r="11" spans="1:2" ht="15.75" customHeight="1">
      <c r="A11" s="2" t="s">
        <v>8</v>
      </c>
      <c r="B11" s="14">
        <v>115200</v>
      </c>
    </row>
    <row r="12" spans="1:2" ht="15.75" customHeight="1">
      <c r="A12" s="2" t="s">
        <v>9</v>
      </c>
      <c r="B12" s="14">
        <v>8</v>
      </c>
    </row>
    <row r="13" spans="1:2" ht="15.75" customHeight="1">
      <c r="A13" s="10" t="s">
        <v>10</v>
      </c>
      <c r="B13" s="15" t="s">
        <v>17</v>
      </c>
    </row>
    <row r="14" spans="1:2" ht="15.75" customHeight="1">
      <c r="A14" s="10" t="s">
        <v>18</v>
      </c>
      <c r="B14" s="15">
        <v>2</v>
      </c>
    </row>
    <row r="15" spans="1:2" ht="15.75" customHeight="1">
      <c r="A15" s="32" t="s">
        <v>24</v>
      </c>
      <c r="B15" s="30"/>
    </row>
    <row r="16" spans="1:2" ht="15.75" customHeight="1">
      <c r="A16" s="2" t="s">
        <v>4</v>
      </c>
      <c r="B16" s="2" t="s">
        <v>25</v>
      </c>
    </row>
    <row r="17" spans="1:2" ht="15.75" customHeight="1">
      <c r="A17" s="2" t="s">
        <v>26</v>
      </c>
      <c r="B17" s="2" t="s">
        <v>27</v>
      </c>
    </row>
    <row r="18" spans="1:2" ht="15.75" customHeight="1">
      <c r="A18" s="2" t="s">
        <v>28</v>
      </c>
      <c r="B18" s="2" t="s">
        <v>29</v>
      </c>
    </row>
    <row r="19" spans="1:2" ht="15.75" customHeight="1">
      <c r="A19" s="2" t="s">
        <v>30</v>
      </c>
      <c r="B19" s="2" t="s">
        <v>31</v>
      </c>
    </row>
    <row r="20" spans="1:2" ht="15.75" customHeight="1">
      <c r="A20" s="2" t="s">
        <v>32</v>
      </c>
      <c r="B20" s="2">
        <v>502</v>
      </c>
    </row>
  </sheetData>
  <mergeCells count="3">
    <mergeCell ref="A1:B1"/>
    <mergeCell ref="A8:B8"/>
    <mergeCell ref="A15:B15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3"/>
  <sheetViews>
    <sheetView workbookViewId="0" topLeftCell="A1">
      <selection activeCell="A3" sqref="A3"/>
    </sheetView>
  </sheetViews>
  <sheetFormatPr defaultColWidth="14.421875" defaultRowHeight="15.75" customHeight="1"/>
  <cols>
    <col min="1" max="1" width="94.7109375" style="0" customWidth="1"/>
  </cols>
  <sheetData>
    <row r="1" ht="25.5">
      <c r="A1" s="4" t="s">
        <v>1</v>
      </c>
    </row>
    <row r="2" ht="12.75">
      <c r="A2" s="6"/>
    </row>
    <row r="3" ht="76.5">
      <c r="A3" s="8" t="s">
        <v>11</v>
      </c>
    </row>
    <row r="4" ht="12.75">
      <c r="A4" s="6"/>
    </row>
    <row r="5" ht="12.75">
      <c r="A5" s="4" t="s">
        <v>14</v>
      </c>
    </row>
    <row r="6" ht="12.75">
      <c r="A6" s="6"/>
    </row>
    <row r="7" ht="12.75">
      <c r="A7" s="13" t="s">
        <v>15</v>
      </c>
    </row>
    <row r="8" ht="12.75">
      <c r="A8" s="6"/>
    </row>
    <row r="9" ht="25.5">
      <c r="A9" s="8" t="s">
        <v>20</v>
      </c>
    </row>
    <row r="10" ht="25.5">
      <c r="A10" s="8" t="s">
        <v>21</v>
      </c>
    </row>
    <row r="11" ht="51">
      <c r="A11" s="8" t="s">
        <v>22</v>
      </c>
    </row>
    <row r="12" ht="12.75">
      <c r="A12" s="6"/>
    </row>
    <row r="13" ht="12.75">
      <c r="A13" s="8" t="s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99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6.7109375" style="0" customWidth="1"/>
    <col min="2" max="2" width="6.57421875" style="0" customWidth="1"/>
    <col min="3" max="3" width="4.8515625" style="0" customWidth="1"/>
    <col min="4" max="4" width="20.57421875" style="0" customWidth="1"/>
    <col min="5" max="5" width="57.28125" style="0" customWidth="1"/>
  </cols>
  <sheetData>
    <row r="1" spans="1:5" ht="15.75" customHeight="1">
      <c r="A1" s="19" t="s">
        <v>33</v>
      </c>
      <c r="B1" s="19" t="s">
        <v>34</v>
      </c>
      <c r="C1" s="20" t="s">
        <v>3</v>
      </c>
      <c r="D1" s="21" t="s">
        <v>12</v>
      </c>
      <c r="E1" s="22" t="s">
        <v>13</v>
      </c>
    </row>
    <row r="2" spans="1:5" ht="15.75" customHeight="1">
      <c r="A2" s="24" t="str">
        <f ca="1">_xlfn.IFERROR(__xludf.DUMMYFUNCTION("SPLIT('файл map'!A52,""=#"")"),"var0")</f>
        <v>var0</v>
      </c>
      <c r="B2" s="24">
        <f ca="1">_xlfn.IFERROR(__xludf.DUMMYFUNCTION("""COMPUTED_VALUE"""),0)</f>
        <v>0</v>
      </c>
      <c r="C2" s="24" t="str">
        <f ca="1">_xlfn.IFERROR(__xludf.DUMMYFUNCTION("""COMPUTED_VALUE"""),"long")</f>
        <v>long</v>
      </c>
      <c r="D2" s="25" t="str">
        <f ca="1">_xlfn.IFERROR(__xludf.DUMMYFUNCTION("""COMPUTED_VALUE"""),"SN PLC")</f>
        <v>SN PLC</v>
      </c>
      <c r="E2" s="26" t="str">
        <f ca="1">_xlfn.IFERROR(__xludf.DUMMYFUNCTION("""COMPUTED_VALUE"""),"Серийный номер ПЛК")</f>
        <v>Серийный номер ПЛК</v>
      </c>
    </row>
    <row r="3" spans="1:5" ht="15.75" customHeight="1">
      <c r="A3" s="24" t="str">
        <f ca="1">_xlfn.IFERROR(__xludf.DUMMYFUNCTION("SPLIT('файл map'!A53,""=#"")"),"var1")</f>
        <v>var1</v>
      </c>
      <c r="B3" s="24">
        <f ca="1">_xlfn.IFERROR(__xludf.DUMMYFUNCTION("""COMPUTED_VALUE"""),2)</f>
        <v>2</v>
      </c>
      <c r="C3" s="24" t="str">
        <f ca="1">_xlfn.IFERROR(__xludf.DUMMYFUNCTION("""COMPUTED_VALUE"""),"int")</f>
        <v>int</v>
      </c>
      <c r="D3" s="25" t="str">
        <f ca="1">_xlfn.IFERROR(__xludf.DUMMYFUNCTION("""COMPUTED_VALUE"""),"Version.Type")</f>
        <v>Version.Type</v>
      </c>
      <c r="E3" s="26" t="str">
        <f ca="1">_xlfn.IFERROR(__xludf.DUMMYFUNCTION("""COMPUTED_VALUE"""),"Версия ПО. Тип станции (1-КНС, 2-ПЧ, 3-КПЧ, 4-ПЖ, 5-ПЧ-ПЖ и т.д.)")</f>
        <v>Версия ПО. Тип станции (1-КНС, 2-ПЧ, 3-КПЧ, 4-ПЖ, 5-ПЧ-ПЖ и т.д.)</v>
      </c>
    </row>
    <row r="4" spans="1:5" ht="15.75" customHeight="1">
      <c r="A4" s="24" t="str">
        <f ca="1">_xlfn.IFERROR(__xludf.DUMMYFUNCTION("SPLIT('файл map'!A54,""=#"")"),"var2")</f>
        <v>var2</v>
      </c>
      <c r="B4" s="24">
        <f ca="1">_xlfn.IFERROR(__xludf.DUMMYFUNCTION("""COMPUTED_VALUE"""),3)</f>
        <v>3</v>
      </c>
      <c r="C4" s="24" t="str">
        <f ca="1">_xlfn.IFERROR(__xludf.DUMMYFUNCTION("""COMPUTED_VALUE"""),"int")</f>
        <v>int</v>
      </c>
      <c r="D4" s="25" t="str">
        <f ca="1">_xlfn.IFERROR(__xludf.DUMMYFUNCTION("""COMPUTED_VALUE"""),"Version.Release")</f>
        <v>Version.Release</v>
      </c>
      <c r="E4" s="26" t="str">
        <f ca="1">_xlfn.IFERROR(__xludf.DUMMYFUNCTION("""COMPUTED_VALUE"""),"Версия ПО. Релиз")</f>
        <v>Версия ПО. Релиз</v>
      </c>
    </row>
    <row r="5" spans="1:5" ht="15.75" customHeight="1">
      <c r="A5" s="24" t="str">
        <f ca="1">_xlfn.IFERROR(__xludf.DUMMYFUNCTION("SPLIT('файл map'!A55,""=#"")"),"var3")</f>
        <v>var3</v>
      </c>
      <c r="B5" s="24">
        <f ca="1">_xlfn.IFERROR(__xludf.DUMMYFUNCTION("""COMPUTED_VALUE"""),4)</f>
        <v>4</v>
      </c>
      <c r="C5" s="24" t="str">
        <f ca="1">_xlfn.IFERROR(__xludf.DUMMYFUNCTION("""COMPUTED_VALUE"""),"int")</f>
        <v>int</v>
      </c>
      <c r="D5" s="25" t="str">
        <f ca="1">_xlfn.IFERROR(__xludf.DUMMYFUNCTION("""COMPUTED_VALUE"""),"Version.Order")</f>
        <v>Version.Order</v>
      </c>
      <c r="E5" s="26" t="str">
        <f ca="1">_xlfn.IFERROR(__xludf.DUMMYFUNCTION("""COMPUTED_VALUE"""),"Версия ПО. Нестандарт (0-стандарт, другое число (обычно серийный номер ЩУ)-нестандарт)")</f>
        <v>Версия ПО. Нестандарт (0-стандарт, другое число (обычно серийный номер ЩУ)-нестандарт)</v>
      </c>
    </row>
    <row r="6" spans="1:5" ht="15.75" customHeight="1">
      <c r="A6" s="24" t="str">
        <f ca="1">_xlfn.IFERROR(__xludf.DUMMYFUNCTION("SPLIT('файл map'!A56,""=#"")"),"var4")</f>
        <v>var4</v>
      </c>
      <c r="B6" s="24">
        <f ca="1">_xlfn.IFERROR(__xludf.DUMMYFUNCTION("""COMPUTED_VALUE"""),5)</f>
        <v>5</v>
      </c>
      <c r="C6" s="24" t="str">
        <f ca="1">_xlfn.IFERROR(__xludf.DUMMYFUNCTION("""COMPUTED_VALUE"""),"int")</f>
        <v>int</v>
      </c>
      <c r="D6" s="25" t="str">
        <f ca="1">_xlfn.IFERROR(__xludf.DUMMYFUNCTION("""COMPUTED_VALUE"""),"SN.YYMM")</f>
        <v>SN.YYMM</v>
      </c>
      <c r="E6" s="26" t="str">
        <f ca="1">_xlfn.IFERROR(__xludf.DUMMYFUNCTION("""COMPUTED_VALUE"""),"Серийный номер станции (YY-год, MM-месяц)")</f>
        <v>Серийный номер станции (YY-год, MM-месяц)</v>
      </c>
    </row>
    <row r="7" spans="1:5" ht="15.75" customHeight="1">
      <c r="A7" s="24" t="str">
        <f ca="1">_xlfn.IFERROR(__xludf.DUMMYFUNCTION("SPLIT('файл map'!A57,""=#"")"),"var5")</f>
        <v>var5</v>
      </c>
      <c r="B7" s="24">
        <f ca="1">_xlfn.IFERROR(__xludf.DUMMYFUNCTION("""COMPUTED_VALUE"""),6)</f>
        <v>6</v>
      </c>
      <c r="C7" s="24" t="str">
        <f ca="1">_xlfn.IFERROR(__xludf.DUMMYFUNCTION("""COMPUTED_VALUE"""),"int")</f>
        <v>int</v>
      </c>
      <c r="D7" s="25" t="str">
        <f ca="1">_xlfn.IFERROR(__xludf.DUMMYFUNCTION("""COMPUTED_VALUE"""),"SN.Number")</f>
        <v>SN.Number</v>
      </c>
      <c r="E7" s="26" t="str">
        <f ca="1">_xlfn.IFERROR(__xludf.DUMMYFUNCTION("""COMPUTED_VALUE"""),"Серийный номер станции (ZZZZZ-номер заказа)")</f>
        <v>Серийный номер станции (ZZZZZ-номер заказа)</v>
      </c>
    </row>
    <row r="8" spans="1:5" ht="15.75" customHeight="1">
      <c r="A8" s="24" t="str">
        <f ca="1">_xlfn.IFERROR(__xludf.DUMMYFUNCTION("SPLIT('файл map'!A58,""=#"")"),"var6")</f>
        <v>var6</v>
      </c>
      <c r="B8" s="24">
        <f ca="1">_xlfn.IFERROR(__xludf.DUMMYFUNCTION("""COMPUTED_VALUE"""),7)</f>
        <v>7</v>
      </c>
      <c r="C8" s="24" t="str">
        <f ca="1">_xlfn.IFERROR(__xludf.DUMMYFUNCTION("""COMPUTED_VALUE"""),"long")</f>
        <v>long</v>
      </c>
      <c r="D8" s="25" t="str">
        <f ca="1">_xlfn.IFERROR(__xludf.DUMMYFUNCTION("""COMPUTED_VALUE"""),"SmsCode")</f>
        <v>SmsCode</v>
      </c>
      <c r="E8" s="26" t="str">
        <f ca="1">_xlfn.IFERROR(__xludf.DUMMYFUNCTION("""COMPUTED_VALUE"""),"Номер для SMS. Код страны, оператора")</f>
        <v>Номер для SMS. Код страны, оператора</v>
      </c>
    </row>
    <row r="9" spans="1:5" ht="15.75" customHeight="1">
      <c r="A9" s="24" t="str">
        <f ca="1">_xlfn.IFERROR(__xludf.DUMMYFUNCTION("SPLIT('файл map'!A59,""=#"")"),"var7")</f>
        <v>var7</v>
      </c>
      <c r="B9" s="24">
        <f ca="1">_xlfn.IFERROR(__xludf.DUMMYFUNCTION("""COMPUTED_VALUE"""),9)</f>
        <v>9</v>
      </c>
      <c r="C9" s="24" t="str">
        <f ca="1">_xlfn.IFERROR(__xludf.DUMMYFUNCTION("""COMPUTED_VALUE"""),"long")</f>
        <v>long</v>
      </c>
      <c r="D9" s="25" t="str">
        <f ca="1">_xlfn.IFERROR(__xludf.DUMMYFUNCTION("""COMPUTED_VALUE"""),"SmsNumb")</f>
        <v>SmsNumb</v>
      </c>
      <c r="E9" s="26" t="str">
        <f ca="1">_xlfn.IFERROR(__xludf.DUMMYFUNCTION("""COMPUTED_VALUE"""),"Номер для SMS. Номер абонента")</f>
        <v>Номер для SMS. Номер абонента</v>
      </c>
    </row>
    <row r="10" spans="1:5" ht="15.75" customHeight="1">
      <c r="A10" s="24" t="str">
        <f ca="1">_xlfn.IFERROR(__xludf.DUMMYFUNCTION("SPLIT('файл map'!A60,""=#"")"),"var8")</f>
        <v>var8</v>
      </c>
      <c r="B10" s="24" t="str">
        <f ca="1">_xlfn.IFERROR(__xludf.DUMMYFUNCTION("""COMPUTED_VALUE"""),"b")</f>
        <v>b</v>
      </c>
      <c r="C10" s="24" t="str">
        <f ca="1">_xlfn.IFERROR(__xludf.DUMMYFUNCTION("""COMPUTED_VALUE"""),"int")</f>
        <v>int</v>
      </c>
      <c r="D10" s="25" t="str">
        <f ca="1">_xlfn.IFERROR(__xludf.DUMMYFUNCTION("""COMPUTED_VALUE"""),"CurTime.Day")</f>
        <v>CurTime.Day</v>
      </c>
      <c r="E10" s="26" t="str">
        <f ca="1">_xlfn.IFERROR(__xludf.DUMMYFUNCTION("""COMPUTED_VALUE"""),"Текущее время ПЛК. День")</f>
        <v>Текущее время ПЛК. День</v>
      </c>
    </row>
    <row r="11" spans="1:5" ht="15.75" customHeight="1">
      <c r="A11" s="24" t="str">
        <f ca="1">_xlfn.IFERROR(__xludf.DUMMYFUNCTION("SPLIT('файл map'!A61,""=#"")"),"var9")</f>
        <v>var9</v>
      </c>
      <c r="B11" s="24" t="str">
        <f ca="1">_xlfn.IFERROR(__xludf.DUMMYFUNCTION("""COMPUTED_VALUE"""),"c")</f>
        <v>c</v>
      </c>
      <c r="C11" s="24" t="str">
        <f ca="1">_xlfn.IFERROR(__xludf.DUMMYFUNCTION("""COMPUTED_VALUE"""),"int")</f>
        <v>int</v>
      </c>
      <c r="D11" s="25" t="str">
        <f ca="1">_xlfn.IFERROR(__xludf.DUMMYFUNCTION("""COMPUTED_VALUE"""),"CurTime.Month")</f>
        <v>CurTime.Month</v>
      </c>
      <c r="E11" s="26" t="str">
        <f ca="1">_xlfn.IFERROR(__xludf.DUMMYFUNCTION("""COMPUTED_VALUE"""),"Текущее время ПЛК. Месяц")</f>
        <v>Текущее время ПЛК. Месяц</v>
      </c>
    </row>
    <row r="12" spans="1:5" ht="15.75" customHeight="1">
      <c r="A12" s="24" t="str">
        <f ca="1">_xlfn.IFERROR(__xludf.DUMMYFUNCTION("SPLIT('файл map'!A62,""=#"")"),"var10")</f>
        <v>var10</v>
      </c>
      <c r="B12" s="24" t="str">
        <f ca="1">_xlfn.IFERROR(__xludf.DUMMYFUNCTION("""COMPUTED_VALUE"""),"d")</f>
        <v>d</v>
      </c>
      <c r="C12" s="24" t="str">
        <f ca="1">_xlfn.IFERROR(__xludf.DUMMYFUNCTION("""COMPUTED_VALUE"""),"int")</f>
        <v>int</v>
      </c>
      <c r="D12" s="25" t="str">
        <f ca="1">_xlfn.IFERROR(__xludf.DUMMYFUNCTION("""COMPUTED_VALUE"""),"CurTime.Year")</f>
        <v>CurTime.Year</v>
      </c>
      <c r="E12" s="26" t="str">
        <f ca="1">_xlfn.IFERROR(__xludf.DUMMYFUNCTION("""COMPUTED_VALUE"""),"Текущее время ПЛК. Год")</f>
        <v>Текущее время ПЛК. Год</v>
      </c>
    </row>
    <row r="13" spans="1:5" ht="15.75" customHeight="1">
      <c r="A13" s="24" t="str">
        <f ca="1">_xlfn.IFERROR(__xludf.DUMMYFUNCTION("SPLIT('файл map'!A63,""=#"")"),"var11")</f>
        <v>var11</v>
      </c>
      <c r="B13" s="24" t="str">
        <f ca="1">_xlfn.IFERROR(__xludf.DUMMYFUNCTION("""COMPUTED_VALUE"""),"e")</f>
        <v>e</v>
      </c>
      <c r="C13" s="24" t="str">
        <f ca="1">_xlfn.IFERROR(__xludf.DUMMYFUNCTION("""COMPUTED_VALUE"""),"int")</f>
        <v>int</v>
      </c>
      <c r="D13" s="25" t="str">
        <f ca="1">_xlfn.IFERROR(__xludf.DUMMYFUNCTION("""COMPUTED_VALUE"""),"CurTime.Hour")</f>
        <v>CurTime.Hour</v>
      </c>
      <c r="E13" s="26" t="str">
        <f ca="1">_xlfn.IFERROR(__xludf.DUMMYFUNCTION("""COMPUTED_VALUE"""),"Текущее время ПЛК. Час")</f>
        <v>Текущее время ПЛК. Час</v>
      </c>
    </row>
    <row r="14" spans="1:5" ht="15.75" customHeight="1">
      <c r="A14" s="24" t="str">
        <f ca="1">_xlfn.IFERROR(__xludf.DUMMYFUNCTION("SPLIT('файл map'!A64,""=#"")"),"var12")</f>
        <v>var12</v>
      </c>
      <c r="B14" s="24" t="str">
        <f ca="1">_xlfn.IFERROR(__xludf.DUMMYFUNCTION("""COMPUTED_VALUE"""),"f")</f>
        <v>f</v>
      </c>
      <c r="C14" s="24" t="str">
        <f ca="1">_xlfn.IFERROR(__xludf.DUMMYFUNCTION("""COMPUTED_VALUE"""),"int")</f>
        <v>int</v>
      </c>
      <c r="D14" s="25" t="str">
        <f ca="1">_xlfn.IFERROR(__xludf.DUMMYFUNCTION("""COMPUTED_VALUE"""),"CurTime.Minute")</f>
        <v>CurTime.Minute</v>
      </c>
      <c r="E14" s="26" t="str">
        <f ca="1">_xlfn.IFERROR(__xludf.DUMMYFUNCTION("""COMPUTED_VALUE"""),"Текущее время ПЛК. Минута")</f>
        <v>Текущее время ПЛК. Минута</v>
      </c>
    </row>
    <row r="15" spans="1:5" ht="15.75" customHeight="1">
      <c r="A15" s="24" t="str">
        <f ca="1">_xlfn.IFERROR(__xludf.DUMMYFUNCTION("SPLIT('файл map'!A65,""=#"")"),"var13")</f>
        <v>var13</v>
      </c>
      <c r="B15" s="24">
        <f ca="1">_xlfn.IFERROR(__xludf.DUMMYFUNCTION("""COMPUTED_VALUE"""),10)</f>
        <v>10</v>
      </c>
      <c r="C15" s="24" t="str">
        <f ca="1">_xlfn.IFERROR(__xludf.DUMMYFUNCTION("""COMPUTED_VALUE"""),"int")</f>
        <v>int</v>
      </c>
      <c r="D15" s="25" t="str">
        <f ca="1">_xlfn.IFERROR(__xludf.DUMMYFUNCTION("""COMPUTED_VALUE"""),"CurTime.Second")</f>
        <v>CurTime.Second</v>
      </c>
      <c r="E15" s="26" t="str">
        <f ca="1">_xlfn.IFERROR(__xludf.DUMMYFUNCTION("""COMPUTED_VALUE"""),"Текущее время ПЛК. Секунда")</f>
        <v>Текущее время ПЛК. Секунда</v>
      </c>
    </row>
    <row r="16" spans="1:5" ht="15.75" customHeight="1">
      <c r="A16" s="24" t="str">
        <f ca="1">_xlfn.IFERROR(__xludf.DUMMYFUNCTION("SPLIT('файл map'!A66,""=#"")"),"var14")</f>
        <v>var14</v>
      </c>
      <c r="B16" s="24">
        <f ca="1">_xlfn.IFERROR(__xludf.DUMMYFUNCTION("""COMPUTED_VALUE"""),11)</f>
        <v>11</v>
      </c>
      <c r="C16" s="24" t="str">
        <f ca="1">_xlfn.IFERROR(__xludf.DUMMYFUNCTION("""COMPUTED_VALUE"""),"int")</f>
        <v>int</v>
      </c>
      <c r="D16" s="25" t="str">
        <f ca="1">_xlfn.IFERROR(__xludf.DUMMYFUNCTION("""COMPUTED_VALUE"""),"Journal.AlarmWord1")</f>
        <v>Journal.AlarmWord1</v>
      </c>
      <c r="E16" s="26" t="str">
        <f ca="1">_xlfn.IFERROR(__xludf.DUMMYFUNCTION("""COMPUTED_VALUE"""),"Журнал. Слово аварий №1 (b0-Насос1.Нет связи, b1-Насос1.Авария ПЧ, b2-Насос2.Нет связи, b3-Насос2.Авария ПЧ, b4-Насос3.Нет связи, b5-Насос3.Авария ПЧ, b6-Насос4.Нет связи, b7-Насос4.Авария ПЧ, b8-Насос5.Нет связи, b9-Насос5.Авария ПЧ, b10-Насос6.Нет связи"&amp;", b11-Насос6.Авария ПЧ, b12-Насос1.Авария, b13-Насос2.Авария, b14-Насос3.Авария, b15-Насос4.Авария)")</f>
        <v>Журнал. Слово аварий №1 (b0-Насос1.Нет связи, b1-Насос1.Авария ПЧ, b2-Насос2.Нет связи, b3-Насос2.Авария ПЧ, b4-Насос3.Нет связи, b5-Насос3.Авария ПЧ, b6-Насос4.Нет связи, b7-Насос4.Авария ПЧ, b8-Насос5.Нет связи, b9-Насос5.Авария ПЧ, b10-Насос6.Нет связи, b11-Насос6.Авария ПЧ, b12-Насос1.Авария, b13-Насос2.Авария, b14-Насос3.Авария, b15-Насос4.Авария)</v>
      </c>
    </row>
    <row r="17" spans="1:5" ht="15.75" customHeight="1">
      <c r="A17" s="24" t="str">
        <f ca="1">_xlfn.IFERROR(__xludf.DUMMYFUNCTION("SPLIT('файл map'!A67,""=#"")"),"var15")</f>
        <v>var15</v>
      </c>
      <c r="B17" s="24">
        <f ca="1">_xlfn.IFERROR(__xludf.DUMMYFUNCTION("""COMPUTED_VALUE"""),12)</f>
        <v>12</v>
      </c>
      <c r="C17" s="24" t="str">
        <f ca="1">_xlfn.IFERROR(__xludf.DUMMYFUNCTION("""COMPUTED_VALUE"""),"int")</f>
        <v>int</v>
      </c>
      <c r="D17" s="27" t="str">
        <f ca="1">_xlfn.IFERROR(__xludf.DUMMYFUNCTION("""COMPUTED_VALUE"""),"Journal.AlarmWord2")</f>
        <v>Journal.AlarmWord2</v>
      </c>
      <c r="E17" s="26" t="str">
        <f ca="1">_xlfn.IFERROR(__xludf.DUMMYFUNCTION("""COMPUTED_VALUE"""),"Журнал. Слово аварий №2 (b0-Датчик давления на выходе №1.Авария, b1-Датчик давления на входе №1.Авария, b2-Датчик температуры.Авария, b3-Сухой ход, b4-Невыход системы на режим (Pmin), b5-Высокое давление(Pmax), b6-Насос1.Невыход на режим, b7-Насос2.Невыхо"&amp;"д на режим, b8-Насос3.Невыход на режим, b9-Насос4.Невыход на режим, b10-Насос5.Невыход на режим, b11-Насос6.Невыход на режим, b12-Насос5.Авария, b13-Насос6.Авария, b14-Бак1.Отказ датчика уровня, b15-Бак2.Отказ датчика уровня)")</f>
        <v>Журнал. Слово аварий №2 (b0-Датчик давления на выходе №1.Авария, b1-Датчик давления на входе №1.Авария, b2-Датчик температуры.Авария, b3-Сухой ход, b4-Невыход системы на режим (Pmin), b5-Высокое давление(Pmax), b6-Насос1.Невыход на режим, b7-Насос2.Невыход на режим, b8-Насос3.Невыход на режим, b9-Насос4.Невыход на режим, b10-Насос5.Невыход на режим, b11-Насос6.Невыход на режим, b12-Насос5.Авария, b13-Насос6.Авария, b14-Бак1.Отказ датчика уровня, b15-Бак2.Отказ датчика уровня)</v>
      </c>
    </row>
    <row r="18" spans="1:5" ht="15.75" customHeight="1">
      <c r="A18" s="24" t="str">
        <f ca="1">_xlfn.IFERROR(__xludf.DUMMYFUNCTION("SPLIT('файл map'!A68,""=#"")"),"var16")</f>
        <v>var16</v>
      </c>
      <c r="B18" s="24">
        <f ca="1">_xlfn.IFERROR(__xludf.DUMMYFUNCTION("""COMPUTED_VALUE"""),13)</f>
        <v>13</v>
      </c>
      <c r="C18" s="24" t="str">
        <f ca="1">_xlfn.IFERROR(__xludf.DUMMYFUNCTION("""COMPUTED_VALUE"""),"int")</f>
        <v>int</v>
      </c>
      <c r="D18" s="25" t="str">
        <f ca="1">_xlfn.IFERROR(__xludf.DUMMYFUNCTION("""COMPUTED_VALUE"""),"Journal.EventWord1")</f>
        <v>Journal.EventWord1</v>
      </c>
      <c r="E18" s="26" t="str">
        <f ca="1">_xlfn.IFERROR(__xludf.DUMMYFUNCTION("""COMPUTED_VALUE"""),"Журнал. Слово событий №1(b0-Режим НОЛЬ, b1-Режим МЕСТ, b2-Режим АВТО, b3-Режим РУЧН, b4-Насос1.Пуск, b5-Насос2.Пуск, b6-Насос3.Пуск, b7-Насос4.Пуск, b8-Насос5.Пуск, b9-Насос6.Пуск, b10-Внешнее отключение, b11-Ротация, b12-, b13-, b14-, b15-)")</f>
        <v>Журнал. Слово событий №1(b0-Режим НОЛЬ, b1-Режим МЕСТ, b2-Режим АВТО, b3-Режим РУЧН, b4-Насос1.Пуск, b5-Насос2.Пуск, b6-Насос3.Пуск, b7-Насос4.Пуск, b8-Насос5.Пуск, b9-Насос6.Пуск, b10-Внешнее отключение, b11-Ротация, b12-, b13-, b14-, b15-)</v>
      </c>
    </row>
    <row r="19" spans="1:5" ht="15.75" customHeight="1">
      <c r="A19" s="24" t="str">
        <f ca="1">_xlfn.IFERROR(__xludf.DUMMYFUNCTION("SPLIT('файл map'!A69,""=#"")"),"var17")</f>
        <v>var17</v>
      </c>
      <c r="B19" s="24">
        <f ca="1">_xlfn.IFERROR(__xludf.DUMMYFUNCTION("""COMPUTED_VALUE"""),14)</f>
        <v>14</v>
      </c>
      <c r="C19" s="24" t="str">
        <f ca="1">_xlfn.IFERROR(__xludf.DUMMYFUNCTION("""COMPUTED_VALUE"""),"int")</f>
        <v>int</v>
      </c>
      <c r="D19" s="25" t="str">
        <f ca="1">_xlfn.IFERROR(__xludf.DUMMYFUNCTION("""COMPUTED_VALUE"""),"SysMode")</f>
        <v>SysMode</v>
      </c>
      <c r="E19" s="26" t="str">
        <f ca="1">_xlfn.IFERROR(__xludf.DUMMYFUNCTION("""COMPUTED_VALUE"""),"Режим системы (0-НОЛЬ, 1-МЕСТ, 2-РУЧН, 3-АВТО)")</f>
        <v>Режим системы (0-НОЛЬ, 1-МЕСТ, 2-РУЧН, 3-АВТО)</v>
      </c>
    </row>
    <row r="20" spans="1:5" ht="15.75" customHeight="1">
      <c r="A20" s="24" t="str">
        <f ca="1">_xlfn.IFERROR(__xludf.DUMMYFUNCTION("SPLIT('файл map'!A70,""=#"")"),"var18")</f>
        <v>var18</v>
      </c>
      <c r="B20" s="24">
        <f ca="1">_xlfn.IFERROR(__xludf.DUMMYFUNCTION("""COMPUTED_VALUE"""),15)</f>
        <v>15</v>
      </c>
      <c r="C20" s="24" t="str">
        <f ca="1">_xlfn.IFERROR(__xludf.DUMMYFUNCTION("""COMPUTED_VALUE"""),"int")</f>
        <v>int</v>
      </c>
      <c r="D20" s="25" t="str">
        <f ca="1">_xlfn.IFERROR(__xludf.DUMMYFUNCTION("""COMPUTED_VALUE"""),"SysMode.BitState")</f>
        <v>SysMode.BitState</v>
      </c>
      <c r="E20" s="26" t="str">
        <f ca="1">_xlfn.IFERROR(__xludf.DUMMYFUNCTION("""COMPUTED_VALUE"""),"Режим системы. Побитовый статус (b0-НОЛЬ, b1-МЕСТ, b2-РУЧН, b3-АВТО, b4-Управление от ПЛК - АВТО или РУЧН)")</f>
        <v>Режим системы. Побитовый статус (b0-НОЛЬ, b1-МЕСТ, b2-РУЧН, b3-АВТО, b4-Управление от ПЛК - АВТО или РУЧН)</v>
      </c>
    </row>
    <row r="21" spans="1:5" ht="15.75" customHeight="1">
      <c r="A21" s="24" t="str">
        <f ca="1">_xlfn.IFERROR(__xludf.DUMMYFUNCTION("SPLIT('файл map'!A71,""=#"")"),"var19")</f>
        <v>var19</v>
      </c>
      <c r="B21" s="24">
        <f ca="1">_xlfn.IFERROR(__xludf.DUMMYFUNCTION("""COMPUTED_VALUE"""),16)</f>
        <v>16</v>
      </c>
      <c r="C21" s="24" t="str">
        <f ca="1">_xlfn.IFERROR(__xludf.DUMMYFUNCTION("""COMPUTED_VALUE"""),"int")</f>
        <v>int</v>
      </c>
      <c r="D21" s="27" t="str">
        <f ca="1">_xlfn.IFERROR(__xludf.DUMMYFUNCTION("""COMPUTED_VALUE"""),"SysState")</f>
        <v>SysState</v>
      </c>
      <c r="E21" s="26" t="str">
        <f ca="1">_xlfn.IFERROR(__xludf.DUMMYFUNCTION("""COMPUTED_VALUE"""),"Статус работы системы (0-стоп, 1-поддержание уставки, 2-работа без регулирования, 3-тест на низкий расход, 4-подбив перед сном, 5-ротация, 6-ожидание, 7-сон, 8-авария датчика, 9-нет насосов в АВТО, 10-нет готовых насосов, 11-внешнее отключение, 12-сухой х"&amp;"од, 13-невыход на режим-Pmin, 14-высокое давление-Pmax, 15-ПЛК не готов (загрузка)")</f>
        <v>Статус работы системы (0-стоп, 1-поддержание уставки, 2-работа без регулирования, 3-тест на низкий расход, 4-подбив перед сном, 5-ротация, 6-ожидание, 7-сон, 8-авария датчика, 9-нет насосов в АВТО, 10-нет готовых насосов, 11-внешнее отключение, 12-сухой ход, 13-невыход на режим-Pmin, 14-высокое давление-Pmax, 15-ПЛК не готов (загрузка)</v>
      </c>
    </row>
    <row r="22" spans="1:5" ht="15.75" customHeight="1">
      <c r="A22" s="24" t="str">
        <f ca="1">_xlfn.IFERROR(__xludf.DUMMYFUNCTION("SPLIT('файл map'!A72,""=#"")"),"var20")</f>
        <v>var20</v>
      </c>
      <c r="B22" s="24">
        <f ca="1">_xlfn.IFERROR(__xludf.DUMMYFUNCTION("""COMPUTED_VALUE"""),17)</f>
        <v>17</v>
      </c>
      <c r="C22" s="24" t="str">
        <f ca="1">_xlfn.IFERROR(__xludf.DUMMYFUNCTION("""COMPUTED_VALUE"""),"real")</f>
        <v>real</v>
      </c>
      <c r="D22" s="25" t="str">
        <f ca="1">_xlfn.IFERROR(__xludf.DUMMYFUNCTION("""COMPUTED_VALUE"""),"Setpoint")</f>
        <v>Setpoint</v>
      </c>
      <c r="E22" s="26" t="str">
        <f ca="1">_xlfn.IFERROR(__xludf.DUMMYFUNCTION("""COMPUTED_VALUE"""),"Уставка давления, бар")</f>
        <v>Уставка давления, бар</v>
      </c>
    </row>
    <row r="23" spans="1:5" ht="15.75" customHeight="1">
      <c r="A23" s="24" t="str">
        <f ca="1">_xlfn.IFERROR(__xludf.DUMMYFUNCTION("SPLIT('файл map'!A73,""=#"")"),"var21")</f>
        <v>var21</v>
      </c>
      <c r="B23" s="24">
        <f ca="1">_xlfn.IFERROR(__xludf.DUMMYFUNCTION("""COMPUTED_VALUE"""),19)</f>
        <v>19</v>
      </c>
      <c r="C23" s="24" t="str">
        <f ca="1">_xlfn.IFERROR(__xludf.DUMMYFUNCTION("""COMPUTED_VALUE"""),"real")</f>
        <v>real</v>
      </c>
      <c r="D23" s="25" t="str">
        <f ca="1">_xlfn.IFERROR(__xludf.DUMMYFUNCTION("""COMPUTED_VALUE"""),"PE_out.Value")</f>
        <v>PE_out.Value</v>
      </c>
      <c r="E23" s="26" t="str">
        <f ca="1">_xlfn.IFERROR(__xludf.DUMMYFUNCTION("""COMPUTED_VALUE"""),"Датчик давления на выходе. Значение, бар")</f>
        <v>Датчик давления на выходе. Значение, бар</v>
      </c>
    </row>
    <row r="24" spans="1:5" ht="15.75" customHeight="1">
      <c r="A24" s="24" t="str">
        <f ca="1">_xlfn.IFERROR(__xludf.DUMMYFUNCTION("SPLIT('файл map'!A74,""=#"")"),"var22")</f>
        <v>var22</v>
      </c>
      <c r="B24" s="24" t="str">
        <f ca="1">_xlfn.IFERROR(__xludf.DUMMYFUNCTION("""COMPUTED_VALUE"""),"1b")</f>
        <v>1b</v>
      </c>
      <c r="C24" s="24" t="str">
        <f ca="1">_xlfn.IFERROR(__xludf.DUMMYFUNCTION("""COMPUTED_VALUE"""),"int")</f>
        <v>int</v>
      </c>
      <c r="D24" s="25" t="str">
        <f ca="1">_xlfn.IFERROR(__xludf.DUMMYFUNCTION("""COMPUTED_VALUE"""),"PE_out.State")</f>
        <v>PE_out.State</v>
      </c>
      <c r="E24" s="26" t="str">
        <f ca="1">_xlfn.IFERROR(__xludf.DUMMYFUNCTION("""COMPUTED_VALUE"""),"Датчик давления на выходе. Cтатус (0-запрещен, 1-тест, 2-авария модуля, 3-отказ,нижний предел, 4-отказ,верхний предел, 5-норма)")</f>
        <v>Датчик давления на выходе. Cтатус (0-запрещен, 1-тест, 2-авария модуля, 3-отказ,нижний предел, 4-отказ,верхний предел, 5-норма)</v>
      </c>
    </row>
    <row r="25" spans="1:5" ht="15.75" customHeight="1">
      <c r="A25" s="24" t="str">
        <f ca="1">_xlfn.IFERROR(__xludf.DUMMYFUNCTION("SPLIT('файл map'!A75,""=#"")"),"var23")</f>
        <v>var23</v>
      </c>
      <c r="B25" s="24" t="str">
        <f ca="1">_xlfn.IFERROR(__xludf.DUMMYFUNCTION("""COMPUTED_VALUE"""),"1c")</f>
        <v>1c</v>
      </c>
      <c r="C25" s="24" t="str">
        <f ca="1">_xlfn.IFERROR(__xludf.DUMMYFUNCTION("""COMPUTED_VALUE"""),"int")</f>
        <v>int</v>
      </c>
      <c r="D25" s="27" t="str">
        <f ca="1">_xlfn.IFERROR(__xludf.DUMMYFUNCTION("""COMPUTED_VALUE"""),"PE_out.BitState")</f>
        <v>PE_out.BitState</v>
      </c>
      <c r="E25" s="26" t="str">
        <f ca="1">_xlfn.IFERROR(__xludf.DUMMYFUNCTION("""COMPUTED_VALUE"""),"Датчик давления на выходе. Побитовый статус (b0-разрешен, b1-тест, b2-отказ(общий), b3-авария модуля, b4-отказ,нижний предел, b5-отказ,верхний предел, b6-готов, b7-не готов)")</f>
        <v>Датчик давления на выходе. Побитовый статус (b0-разрешен, b1-тест, b2-отказ(общий), b3-авария модуля, b4-отказ,нижний предел, b5-отказ,верхний предел, b6-готов, b7-не готов)</v>
      </c>
    </row>
    <row r="26" spans="1:5" ht="15.75" customHeight="1">
      <c r="A26" s="24" t="str">
        <f ca="1">_xlfn.IFERROR(__xludf.DUMMYFUNCTION("SPLIT('файл map'!A76,""=#"")"),"var24")</f>
        <v>var24</v>
      </c>
      <c r="B26" s="24" t="str">
        <f ca="1">_xlfn.IFERROR(__xludf.DUMMYFUNCTION("""COMPUTED_VALUE"""),"1d")</f>
        <v>1d</v>
      </c>
      <c r="C26" s="24" t="str">
        <f ca="1">_xlfn.IFERROR(__xludf.DUMMYFUNCTION("""COMPUTED_VALUE"""),"real")</f>
        <v>real</v>
      </c>
      <c r="D26" s="25" t="str">
        <f ca="1">_xlfn.IFERROR(__xludf.DUMMYFUNCTION("""COMPUTED_VALUE"""),"PE_in.Value")</f>
        <v>PE_in.Value</v>
      </c>
      <c r="E26" s="26" t="str">
        <f ca="1">_xlfn.IFERROR(__xludf.DUMMYFUNCTION("""COMPUTED_VALUE"""),"Датчик давления на входе. Значение, бар")</f>
        <v>Датчик давления на входе. Значение, бар</v>
      </c>
    </row>
    <row r="27" spans="1:5" ht="15.75" customHeight="1">
      <c r="A27" s="24" t="str">
        <f ca="1">_xlfn.IFERROR(__xludf.DUMMYFUNCTION("SPLIT('файл map'!A77,""=#"")"),"var25")</f>
        <v>var25</v>
      </c>
      <c r="B27" s="24" t="str">
        <f ca="1">_xlfn.IFERROR(__xludf.DUMMYFUNCTION("""COMPUTED_VALUE"""),"1f")</f>
        <v>1f</v>
      </c>
      <c r="C27" s="24" t="str">
        <f ca="1">_xlfn.IFERROR(__xludf.DUMMYFUNCTION("""COMPUTED_VALUE"""),"int")</f>
        <v>int</v>
      </c>
      <c r="D27" s="25" t="str">
        <f ca="1">_xlfn.IFERROR(__xludf.DUMMYFUNCTION("""COMPUTED_VALUE"""),"PE_in.State")</f>
        <v>PE_in.State</v>
      </c>
      <c r="E27" s="26" t="str">
        <f ca="1">_xlfn.IFERROR(__xludf.DUMMYFUNCTION("""COMPUTED_VALUE"""),"Датчик давления на входе. Cтатус (0-запрещен, 1-тест, 2-авария модуля, 3-отказ,нижний предел, 4-отказ,верхний предел, 5-норма)")</f>
        <v>Датчик давления на входе. Cтатус (0-запрещен, 1-тест, 2-авария модуля, 3-отказ,нижний предел, 4-отказ,верхний предел, 5-норма)</v>
      </c>
    </row>
    <row r="28" spans="1:5" ht="15.75" customHeight="1">
      <c r="A28" s="24" t="str">
        <f ca="1">_xlfn.IFERROR(__xludf.DUMMYFUNCTION("SPLIT('файл map'!A78,""=#"")"),"var26")</f>
        <v>var26</v>
      </c>
      <c r="B28" s="24">
        <f ca="1">_xlfn.IFERROR(__xludf.DUMMYFUNCTION("""COMPUTED_VALUE"""),20)</f>
        <v>20</v>
      </c>
      <c r="C28" s="24" t="str">
        <f ca="1">_xlfn.IFERROR(__xludf.DUMMYFUNCTION("""COMPUTED_VALUE"""),"int")</f>
        <v>int</v>
      </c>
      <c r="D28" s="25" t="str">
        <f ca="1">_xlfn.IFERROR(__xludf.DUMMYFUNCTION("""COMPUTED_VALUE"""),"PE_in.BitState")</f>
        <v>PE_in.BitState</v>
      </c>
      <c r="E28" s="26" t="str">
        <f ca="1">_xlfn.IFERROR(__xludf.DUMMYFUNCTION("""COMPUTED_VALUE"""),"Датчик давления на входе. Побитовый статус (b0-разрешен, b1-тест, b2-отказ(общий), b3-авария модуля, b4-отказ,нижний предел, b5-отказ,верхний предел, b6-готов, b7-не готов)")</f>
        <v>Датчик давления на входе. Побитовый статус (b0-разрешен, b1-тест, b2-отказ(общий), b3-авария модуля, b4-отказ,нижний предел, b5-отказ,верхний предел, b6-готов, b7-не готов)</v>
      </c>
    </row>
    <row r="29" spans="1:5" ht="15.75" customHeight="1">
      <c r="A29" s="24" t="str">
        <f ca="1">_xlfn.IFERROR(__xludf.DUMMYFUNCTION("SPLIT('файл map'!A79,""=#"")"),"var27")</f>
        <v>var27</v>
      </c>
      <c r="B29" s="24">
        <f ca="1">_xlfn.IFERROR(__xludf.DUMMYFUNCTION("""COMPUTED_VALUE"""),21)</f>
        <v>21</v>
      </c>
      <c r="C29" s="24" t="str">
        <f ca="1">_xlfn.IFERROR(__xludf.DUMMYFUNCTION("""COMPUTED_VALUE"""),"real")</f>
        <v>real</v>
      </c>
      <c r="D29" s="27" t="str">
        <f ca="1">_xlfn.IFERROR(__xludf.DUMMYFUNCTION("""COMPUTED_VALUE"""),"dP.Value")</f>
        <v>dP.Value</v>
      </c>
      <c r="E29" s="26" t="str">
        <f ca="1">_xlfn.IFERROR(__xludf.DUMMYFUNCTION("""COMPUTED_VALUE"""),"Перепад давления. Значение, бар")</f>
        <v>Перепад давления. Значение, бар</v>
      </c>
    </row>
    <row r="30" spans="1:5" ht="15.75" customHeight="1">
      <c r="A30" s="24" t="str">
        <f ca="1">_xlfn.IFERROR(__xludf.DUMMYFUNCTION("SPLIT('файл map'!A80,""=#"")"),"var28")</f>
        <v>var28</v>
      </c>
      <c r="B30" s="24">
        <f ca="1">_xlfn.IFERROR(__xludf.DUMMYFUNCTION("""COMPUTED_VALUE"""),23)</f>
        <v>23</v>
      </c>
      <c r="C30" s="24" t="str">
        <f ca="1">_xlfn.IFERROR(__xludf.DUMMYFUNCTION("""COMPUTED_VALUE"""),"int")</f>
        <v>int</v>
      </c>
      <c r="D30" s="25" t="str">
        <f ca="1">_xlfn.IFERROR(__xludf.DUMMYFUNCTION("""COMPUTED_VALUE"""),"dP.BitState")</f>
        <v>dP.BitState</v>
      </c>
      <c r="E30" s="26" t="str">
        <f ca="1">_xlfn.IFERROR(__xludf.DUMMYFUNCTION("""COMPUTED_VALUE"""),"Перепад давления. Побитовый статус (b0-разрешен, b1-отказ)")</f>
        <v>Перепад давления. Побитовый статус (b0-разрешен, b1-отказ)</v>
      </c>
    </row>
    <row r="31" spans="1:5" ht="15.75" customHeight="1">
      <c r="A31" s="24" t="str">
        <f ca="1">_xlfn.IFERROR(__xludf.DUMMYFUNCTION("SPLIT('файл map'!A81,""=#"")"),"var29")</f>
        <v>var29</v>
      </c>
      <c r="B31" s="24">
        <f ca="1">_xlfn.IFERROR(__xludf.DUMMYFUNCTION("""COMPUTED_VALUE"""),24)</f>
        <v>24</v>
      </c>
      <c r="C31" s="24" t="str">
        <f ca="1">_xlfn.IFERROR(__xludf.DUMMYFUNCTION("""COMPUTED_VALUE"""),"int")</f>
        <v>int</v>
      </c>
      <c r="D31" s="25" t="str">
        <f ca="1">_xlfn.IFERROR(__xludf.DUMMYFUNCTION("""COMPUTED_VALUE"""),"Flowmeter.ShowEn")</f>
        <v>Flowmeter.ShowEn</v>
      </c>
      <c r="E31" s="26" t="str">
        <f ca="1">_xlfn.IFERROR(__xludf.DUMMYFUNCTION("""COMPUTED_VALUE"""),"Расходомер. Наличие")</f>
        <v>Расходомер. Наличие</v>
      </c>
    </row>
    <row r="32" spans="1:5" ht="15.75" customHeight="1">
      <c r="A32" s="24" t="str">
        <f ca="1">_xlfn.IFERROR(__xludf.DUMMYFUNCTION("SPLIT('файл map'!A82,""=#"")"),"var30")</f>
        <v>var30</v>
      </c>
      <c r="B32" s="24">
        <f ca="1">_xlfn.IFERROR(__xludf.DUMMYFUNCTION("""COMPUTED_VALUE"""),25)</f>
        <v>25</v>
      </c>
      <c r="C32" s="24" t="str">
        <f ca="1">_xlfn.IFERROR(__xludf.DUMMYFUNCTION("""COMPUTED_VALUE"""),"real")</f>
        <v>real</v>
      </c>
      <c r="D32" s="25" t="str">
        <f ca="1">_xlfn.IFERROR(__xludf.DUMMYFUNCTION("""COMPUTED_VALUE"""),"Volume")</f>
        <v>Volume</v>
      </c>
      <c r="E32" s="26" t="str">
        <f ca="1">_xlfn.IFERROR(__xludf.DUMMYFUNCTION("""COMPUTED_VALUE"""),"Накопленный объем, м3")</f>
        <v>Накопленный объем, м3</v>
      </c>
    </row>
    <row r="33" spans="1:5" ht="15.75" customHeight="1">
      <c r="A33" s="24" t="str">
        <f ca="1">_xlfn.IFERROR(__xludf.DUMMYFUNCTION("SPLIT('файл map'!A83,""=#"")"),"var31")</f>
        <v>var31</v>
      </c>
      <c r="B33" s="24">
        <f ca="1">_xlfn.IFERROR(__xludf.DUMMYFUNCTION("""COMPUTED_VALUE"""),27)</f>
        <v>27</v>
      </c>
      <c r="C33" s="24" t="str">
        <f ca="1">_xlfn.IFERROR(__xludf.DUMMYFUNCTION("""COMPUTED_VALUE"""),"real")</f>
        <v>real</v>
      </c>
      <c r="D33" s="27" t="str">
        <f ca="1">_xlfn.IFERROR(__xludf.DUMMYFUNCTION("""COMPUTED_VALUE"""),"Flow")</f>
        <v>Flow</v>
      </c>
      <c r="E33" s="26" t="str">
        <f ca="1">_xlfn.IFERROR(__xludf.DUMMYFUNCTION("""COMPUTED_VALUE"""),"Мгновенный расход, м3/ч")</f>
        <v>Мгновенный расход, м3/ч</v>
      </c>
    </row>
    <row r="34" spans="1:5" ht="15.75" customHeight="1">
      <c r="A34" s="24" t="str">
        <f ca="1">_xlfn.IFERROR(__xludf.DUMMYFUNCTION("SPLIT('файл map'!A84,""=#"")"),"var32")</f>
        <v>var32</v>
      </c>
      <c r="B34" s="24">
        <f ca="1">_xlfn.IFERROR(__xludf.DUMMYFUNCTION("""COMPUTED_VALUE"""),29)</f>
        <v>29</v>
      </c>
      <c r="C34" s="24" t="str">
        <f ca="1">_xlfn.IFERROR(__xludf.DUMMYFUNCTION("""COMPUTED_VALUE"""),"int")</f>
        <v>int</v>
      </c>
      <c r="D34" s="25" t="str">
        <f ca="1">_xlfn.IFERROR(__xludf.DUMMYFUNCTION("""COMPUTED_VALUE"""),"Pump1.Mode")</f>
        <v>Pump1.Mode</v>
      </c>
      <c r="E34" s="26" t="str">
        <f ca="1">_xlfn.IFERROR(__xludf.DUMMYFUNCTION("""COMPUTED_VALUE"""),"Насос №1. Режим управления (0-НОЛЬ, 1-МЕСТ, 2-РУЧН, 3-АВТО)")</f>
        <v>Насос №1. Режим управления (0-НОЛЬ, 1-МЕСТ, 2-РУЧН, 3-АВТО)</v>
      </c>
    </row>
    <row r="35" spans="1:5" ht="15.75" customHeight="1">
      <c r="A35" s="24" t="str">
        <f ca="1">_xlfn.IFERROR(__xludf.DUMMYFUNCTION("SPLIT('файл map'!A85,""=#"")"),"var33")</f>
        <v>var33</v>
      </c>
      <c r="B35" s="24" t="str">
        <f ca="1">_xlfn.IFERROR(__xludf.DUMMYFUNCTION("""COMPUTED_VALUE"""),"2a")</f>
        <v>2a</v>
      </c>
      <c r="C35" s="24" t="str">
        <f ca="1">_xlfn.IFERROR(__xludf.DUMMYFUNCTION("""COMPUTED_VALUE"""),"int")</f>
        <v>int</v>
      </c>
      <c r="D35" s="25" t="str">
        <f ca="1">_xlfn.IFERROR(__xludf.DUMMYFUNCTION("""COMPUTED_VALUE"""),"Pump1.State")</f>
        <v>Pump1.State</v>
      </c>
      <c r="E35" s="26" t="str">
        <f ca="1">_xlfn.IFERROR(__xludf.DUMMYFUNCTION("""COMPUTED_VALUE"""),"Насос №1. Статус (0-не существует, 1-запрещен, 2-авария, 3-работа и пуск, 4-работа без пуска, 5-пуск, 6-стоп)")</f>
        <v>Насос №1. Статус (0-не существует, 1-запрещен, 2-авария, 3-работа и пуск, 4-работа без пуска, 5-пуск, 6-стоп)</v>
      </c>
    </row>
    <row r="36" spans="1:5" ht="15.75" customHeight="1">
      <c r="A36" s="24" t="str">
        <f ca="1">_xlfn.IFERROR(__xludf.DUMMYFUNCTION("SPLIT('файл map'!A86,""=#"")"),"var34")</f>
        <v>var34</v>
      </c>
      <c r="B36" s="24" t="str">
        <f ca="1">_xlfn.IFERROR(__xludf.DUMMYFUNCTION("""COMPUTED_VALUE"""),"2b")</f>
        <v>2b</v>
      </c>
      <c r="C36" s="24" t="str">
        <f ca="1">_xlfn.IFERROR(__xludf.DUMMYFUNCTION("""COMPUTED_VALUE"""),"int")</f>
        <v>int</v>
      </c>
      <c r="D36" s="25" t="str">
        <f ca="1">_xlfn.IFERROR(__xludf.DUMMYFUNCTION("""COMPUTED_VALUE"""),"Pump1.BitState")</f>
        <v>Pump1.BitState</v>
      </c>
      <c r="E36" s="26" t="str">
        <f ca="1">_xlfn.IFERROR(__xludf.DUMMYFUNCTION("""COMPUTED_VALUE"""),"Насос №1.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b14-пус"&amp;"к от ПЧ, b15-)")</f>
        <v>Насос №1.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37" spans="1:5" ht="15.75" customHeight="1">
      <c r="A37" s="24" t="str">
        <f ca="1">_xlfn.IFERROR(__xludf.DUMMYFUNCTION("SPLIT('файл map'!A87,""=#"")"),"var35")</f>
        <v>var35</v>
      </c>
      <c r="B37" s="24" t="str">
        <f ca="1">_xlfn.IFERROR(__xludf.DUMMYFUNCTION("""COMPUTED_VALUE"""),"2c")</f>
        <v>2c</v>
      </c>
      <c r="C37" s="24" t="str">
        <f ca="1">_xlfn.IFERROR(__xludf.DUMMYFUNCTION("""COMPUTED_VALUE"""),"real")</f>
        <v>real</v>
      </c>
      <c r="D37" s="25" t="str">
        <f ca="1">_xlfn.IFERROR(__xludf.DUMMYFUNCTION("""COMPUTED_VALUE"""),"Pump1.RT hh.mm")</f>
        <v>Pump1.RT hh.mm</v>
      </c>
      <c r="E37" s="26" t="str">
        <f ca="1">_xlfn.IFERROR(__xludf.DUMMYFUNCTION("""COMPUTED_VALUE"""),"Насос №1. Наработка в формате ЧЧ.ММ")</f>
        <v>Насос №1. Наработка в формате ЧЧ.ММ</v>
      </c>
    </row>
    <row r="38" spans="1:5" ht="15.75" customHeight="1">
      <c r="A38" s="24" t="str">
        <f ca="1">_xlfn.IFERROR(__xludf.DUMMYFUNCTION("SPLIT('файл map'!A88,""=#"")"),"var36")</f>
        <v>var36</v>
      </c>
      <c r="B38" s="24" t="str">
        <f ca="1">_xlfn.IFERROR(__xludf.DUMMYFUNCTION("""COMPUTED_VALUE"""),"2e")</f>
        <v>2e</v>
      </c>
      <c r="C38" s="24" t="str">
        <f ca="1">_xlfn.IFERROR(__xludf.DUMMYFUNCTION("""COMPUTED_VALUE"""),"long")</f>
        <v>long</v>
      </c>
      <c r="D38" s="25" t="str">
        <f ca="1">_xlfn.IFERROR(__xludf.DUMMYFUNCTION("""COMPUTED_VALUE"""),"Pump1.NumStarts")</f>
        <v>Pump1.NumStarts</v>
      </c>
      <c r="E38" s="26" t="str">
        <f ca="1">_xlfn.IFERROR(__xludf.DUMMYFUNCTION("""COMPUTED_VALUE"""),"Насос №1. Количество пусков")</f>
        <v>Насос №1. Количество пусков</v>
      </c>
    </row>
    <row r="39" spans="1:5" ht="15.75" customHeight="1">
      <c r="A39" s="24" t="str">
        <f ca="1">_xlfn.IFERROR(__xludf.DUMMYFUNCTION("SPLIT('файл map'!A89,""=#"")"),"var37")</f>
        <v>var37</v>
      </c>
      <c r="B39" s="24">
        <f ca="1">_xlfn.IFERROR(__xludf.DUMMYFUNCTION("""COMPUTED_VALUE"""),30)</f>
        <v>30</v>
      </c>
      <c r="C39" s="24" t="str">
        <f ca="1">_xlfn.IFERROR(__xludf.DUMMYFUNCTION("""COMPUTED_VALUE"""),"int")</f>
        <v>int</v>
      </c>
      <c r="D39" s="25" t="str">
        <f ca="1">_xlfn.IFERROR(__xludf.DUMMYFUNCTION("""COMPUTED_VALUE"""),"Pump1.MbState")</f>
        <v>Pump1.MbState</v>
      </c>
      <c r="E39" s="26" t="str">
        <f ca="1">_xlfn.IFERROR(__xludf.DUMMYFUNCTION("""COMPUTED_VALUE"""),"Насос №1. Статус связи с ПЧ (0-отключен, 1-отказ, 2-норма)")</f>
        <v>Насос №1. Статус связи с ПЧ (0-отключен, 1-отказ, 2-норма)</v>
      </c>
    </row>
    <row r="40" spans="1:5" ht="12.75">
      <c r="A40" s="24" t="str">
        <f ca="1">_xlfn.IFERROR(__xludf.DUMMYFUNCTION("SPLIT('файл map'!A90,""=#"")"),"var38")</f>
        <v>var38</v>
      </c>
      <c r="B40" s="24">
        <f ca="1">_xlfn.IFERROR(__xludf.DUMMYFUNCTION("""COMPUTED_VALUE"""),31)</f>
        <v>31</v>
      </c>
      <c r="C40" s="24" t="str">
        <f ca="1">_xlfn.IFERROR(__xludf.DUMMYFUNCTION("""COMPUTED_VALUE"""),"real")</f>
        <v>real</v>
      </c>
      <c r="D40" s="25" t="str">
        <f ca="1">_xlfn.IFERROR(__xludf.DUMMYFUNCTION("""COMPUTED_VALUE"""),"Pump1.TaskFreq")</f>
        <v>Pump1.TaskFreq</v>
      </c>
      <c r="E40" s="26" t="str">
        <f ca="1">_xlfn.IFERROR(__xludf.DUMMYFUNCTION("""COMPUTED_VALUE"""),"Насос №1. Задание частоты, Гц")</f>
        <v>Насос №1. Задание частоты, Гц</v>
      </c>
    </row>
    <row r="41" spans="1:5" ht="12.75">
      <c r="A41" s="24" t="str">
        <f ca="1">_xlfn.IFERROR(__xludf.DUMMYFUNCTION("SPLIT('файл map'!A91,""=#"")"),"var39")</f>
        <v>var39</v>
      </c>
      <c r="B41" s="24">
        <f ca="1">_xlfn.IFERROR(__xludf.DUMMYFUNCTION("""COMPUTED_VALUE"""),33)</f>
        <v>33</v>
      </c>
      <c r="C41" s="24" t="str">
        <f ca="1">_xlfn.IFERROR(__xludf.DUMMYFUNCTION("""COMPUTED_VALUE"""),"real")</f>
        <v>real</v>
      </c>
      <c r="D41" s="25" t="str">
        <f ca="1">_xlfn.IFERROR(__xludf.DUMMYFUNCTION("""COMPUTED_VALUE"""),"Pump1.OutFreq")</f>
        <v>Pump1.OutFreq</v>
      </c>
      <c r="E41" s="26" t="str">
        <f ca="1">_xlfn.IFERROR(__xludf.DUMMYFUNCTION("""COMPUTED_VALUE"""),"Насос №1. Выходная частота, Гц")</f>
        <v>Насос №1. Выходная частота, Гц</v>
      </c>
    </row>
    <row r="42" spans="1:5" ht="12.75">
      <c r="A42" s="24" t="str">
        <f ca="1">_xlfn.IFERROR(__xludf.DUMMYFUNCTION("SPLIT('файл map'!A92,""=#"")"),"var40")</f>
        <v>var40</v>
      </c>
      <c r="B42" s="24">
        <f ca="1">_xlfn.IFERROR(__xludf.DUMMYFUNCTION("""COMPUTED_VALUE"""),35)</f>
        <v>35</v>
      </c>
      <c r="C42" s="24" t="str">
        <f ca="1">_xlfn.IFERROR(__xludf.DUMMYFUNCTION("""COMPUTED_VALUE"""),"real")</f>
        <v>real</v>
      </c>
      <c r="D42" s="25" t="str">
        <f ca="1">_xlfn.IFERROR(__xludf.DUMMYFUNCTION("""COMPUTED_VALUE"""),"Pump1.Voltage")</f>
        <v>Pump1.Voltage</v>
      </c>
      <c r="E42" s="26" t="str">
        <f ca="1">_xlfn.IFERROR(__xludf.DUMMYFUNCTION("""COMPUTED_VALUE"""),"Насос №1. Напряжение двигателя, В")</f>
        <v>Насос №1. Напряжение двигателя, В</v>
      </c>
    </row>
    <row r="43" spans="1:5" ht="12.75">
      <c r="A43" s="24" t="str">
        <f ca="1">_xlfn.IFERROR(__xludf.DUMMYFUNCTION("SPLIT('файл map'!A93,""=#"")"),"var41")</f>
        <v>var41</v>
      </c>
      <c r="B43" s="24">
        <f ca="1">_xlfn.IFERROR(__xludf.DUMMYFUNCTION("""COMPUTED_VALUE"""),37)</f>
        <v>37</v>
      </c>
      <c r="C43" s="24" t="str">
        <f ca="1">_xlfn.IFERROR(__xludf.DUMMYFUNCTION("""COMPUTED_VALUE"""),"real")</f>
        <v>real</v>
      </c>
      <c r="D43" s="25" t="str">
        <f ca="1">_xlfn.IFERROR(__xludf.DUMMYFUNCTION("""COMPUTED_VALUE"""),"Pump1.Current")</f>
        <v>Pump1.Current</v>
      </c>
      <c r="E43" s="26" t="str">
        <f ca="1">_xlfn.IFERROR(__xludf.DUMMYFUNCTION("""COMPUTED_VALUE"""),"Насос №1. Ток двигателя, А")</f>
        <v>Насос №1. Ток двигателя, А</v>
      </c>
    </row>
    <row r="44" spans="1:5" ht="12.75">
      <c r="A44" s="24" t="str">
        <f ca="1">_xlfn.IFERROR(__xludf.DUMMYFUNCTION("SPLIT('файл map'!A94,""=#"")"),"var42")</f>
        <v>var42</v>
      </c>
      <c r="B44" s="24">
        <f ca="1">_xlfn.IFERROR(__xludf.DUMMYFUNCTION("""COMPUTED_VALUE"""),39)</f>
        <v>39</v>
      </c>
      <c r="C44" s="24" t="str">
        <f ca="1">_xlfn.IFERROR(__xludf.DUMMYFUNCTION("""COMPUTED_VALUE"""),"int")</f>
        <v>int</v>
      </c>
      <c r="D44" s="25" t="str">
        <f ca="1">_xlfn.IFERROR(__xludf.DUMMYFUNCTION("""COMPUTED_VALUE"""),"Pump1.LastFaultCode")</f>
        <v>Pump1.LastFaultCode</v>
      </c>
      <c r="E44" s="26" t="str">
        <f ca="1">_xlfn.IFERROR(__xludf.DUMMYFUNCTION("""COMPUTED_VALUE"""),"Насос №1. Сохраненый код отказа ПЧ (см. инструкцию ПЧ)")</f>
        <v>Насос №1. Сохраненый код отказа ПЧ (см. инструкцию ПЧ)</v>
      </c>
    </row>
    <row r="45" spans="1:5" ht="25.5">
      <c r="A45" s="24" t="str">
        <f ca="1">_xlfn.IFERROR(__xludf.DUMMYFUNCTION("SPLIT('файл map'!A95,""=#"")"),"var43")</f>
        <v>var43</v>
      </c>
      <c r="B45" s="24" t="str">
        <f ca="1">_xlfn.IFERROR(__xludf.DUMMYFUNCTION("""COMPUTED_VALUE"""),"3a")</f>
        <v>3a</v>
      </c>
      <c r="C45" s="24" t="str">
        <f ca="1">_xlfn.IFERROR(__xludf.DUMMYFUNCTION("""COMPUTED_VALUE"""),"int")</f>
        <v>int</v>
      </c>
      <c r="D45" s="25" t="str">
        <f ca="1">_xlfn.IFERROR(__xludf.DUMMYFUNCTION("""COMPUTED_VALUE"""),"Pump2.Mode")</f>
        <v>Pump2.Mode</v>
      </c>
      <c r="E45" s="26" t="str">
        <f ca="1">_xlfn.IFERROR(__xludf.DUMMYFUNCTION("""COMPUTED_VALUE"""),"Насос №2. Режим управления (0-НОЛЬ, 1-МЕСТ, 2-РУЧН, 3-АВТО)")</f>
        <v>Насос №2. Режим управления (0-НОЛЬ, 1-МЕСТ, 2-РУЧН, 3-АВТО)</v>
      </c>
    </row>
    <row r="46" spans="1:5" ht="25.5">
      <c r="A46" s="24" t="str">
        <f ca="1">_xlfn.IFERROR(__xludf.DUMMYFUNCTION("SPLIT('файл map'!A96,""=#"")"),"var44")</f>
        <v>var44</v>
      </c>
      <c r="B46" s="24" t="str">
        <f ca="1">_xlfn.IFERROR(__xludf.DUMMYFUNCTION("""COMPUTED_VALUE"""),"3b")</f>
        <v>3b</v>
      </c>
      <c r="C46" s="24" t="str">
        <f ca="1">_xlfn.IFERROR(__xludf.DUMMYFUNCTION("""COMPUTED_VALUE"""),"int")</f>
        <v>int</v>
      </c>
      <c r="D46" s="25" t="str">
        <f ca="1">_xlfn.IFERROR(__xludf.DUMMYFUNCTION("""COMPUTED_VALUE"""),"Pump2.State")</f>
        <v>Pump2.State</v>
      </c>
      <c r="E46" s="26" t="str">
        <f ca="1">_xlfn.IFERROR(__xludf.DUMMYFUNCTION("""COMPUTED_VALUE"""),"Насос №2. Статус (0-не существует, 1-запрещен, 2-авария, 3-работа и пуск, 4-работа без пуска, 5-пуск, 6-стоп)")</f>
        <v>Насос №2. Статус (0-не существует, 1-запрещен, 2-авария, 3-работа и пуск, 4-работа без пуска, 5-пуск, 6-стоп)</v>
      </c>
    </row>
    <row r="47" spans="1:5" ht="63.75">
      <c r="A47" s="24" t="str">
        <f ca="1">_xlfn.IFERROR(__xludf.DUMMYFUNCTION("SPLIT('файл map'!A97,""=#"")"),"var45")</f>
        <v>var45</v>
      </c>
      <c r="B47" s="24" t="str">
        <f ca="1">_xlfn.IFERROR(__xludf.DUMMYFUNCTION("""COMPUTED_VALUE"""),"3c")</f>
        <v>3c</v>
      </c>
      <c r="C47" s="24" t="str">
        <f ca="1">_xlfn.IFERROR(__xludf.DUMMYFUNCTION("""COMPUTED_VALUE"""),"int")</f>
        <v>int</v>
      </c>
      <c r="D47" s="25" t="str">
        <f ca="1">_xlfn.IFERROR(__xludf.DUMMYFUNCTION("""COMPUTED_VALUE"""),"Pump2.BitState")</f>
        <v>Pump2.BitState</v>
      </c>
      <c r="E47" s="26" t="str">
        <f ca="1">_xlfn.IFERROR(__xludf.DUMMYFUNCTION("""COMPUTED_VALUE"""),"Насос №2.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b14-пус"&amp;"к от ПЧ, b15-)")</f>
        <v>Насос №2.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48" spans="1:5" ht="12.75">
      <c r="A48" s="24" t="str">
        <f ca="1">_xlfn.IFERROR(__xludf.DUMMYFUNCTION("SPLIT('файл map'!A98,""=#"")"),"var46")</f>
        <v>var46</v>
      </c>
      <c r="B48" s="24" t="str">
        <f ca="1">_xlfn.IFERROR(__xludf.DUMMYFUNCTION("""COMPUTED_VALUE"""),"3d")</f>
        <v>3d</v>
      </c>
      <c r="C48" s="24" t="str">
        <f ca="1">_xlfn.IFERROR(__xludf.DUMMYFUNCTION("""COMPUTED_VALUE"""),"real")</f>
        <v>real</v>
      </c>
      <c r="D48" s="25" t="str">
        <f ca="1">_xlfn.IFERROR(__xludf.DUMMYFUNCTION("""COMPUTED_VALUE"""),"Pump2.RT hh.mm")</f>
        <v>Pump2.RT hh.mm</v>
      </c>
      <c r="E48" s="26" t="str">
        <f ca="1">_xlfn.IFERROR(__xludf.DUMMYFUNCTION("""COMPUTED_VALUE"""),"Насос №2. Наработка в формате ЧЧ.ММ")</f>
        <v>Насос №2. Наработка в формате ЧЧ.ММ</v>
      </c>
    </row>
    <row r="49" spans="1:5" ht="12.75">
      <c r="A49" s="24" t="str">
        <f ca="1">_xlfn.IFERROR(__xludf.DUMMYFUNCTION("SPLIT('файл map'!A99,""=#"")"),"var47")</f>
        <v>var47</v>
      </c>
      <c r="B49" s="24" t="str">
        <f ca="1">_xlfn.IFERROR(__xludf.DUMMYFUNCTION("""COMPUTED_VALUE"""),"3f")</f>
        <v>3f</v>
      </c>
      <c r="C49" s="24" t="str">
        <f ca="1">_xlfn.IFERROR(__xludf.DUMMYFUNCTION("""COMPUTED_VALUE"""),"long")</f>
        <v>long</v>
      </c>
      <c r="D49" s="25" t="str">
        <f ca="1">_xlfn.IFERROR(__xludf.DUMMYFUNCTION("""COMPUTED_VALUE"""),"Pump2.NumStarts")</f>
        <v>Pump2.NumStarts</v>
      </c>
      <c r="E49" s="26" t="str">
        <f ca="1">_xlfn.IFERROR(__xludf.DUMMYFUNCTION("""COMPUTED_VALUE"""),"Насос №2. Количество пусков")</f>
        <v>Насос №2. Количество пусков</v>
      </c>
    </row>
    <row r="50" spans="1:5" ht="12.75">
      <c r="A50" s="24" t="str">
        <f ca="1">_xlfn.IFERROR(__xludf.DUMMYFUNCTION("SPLIT('файл map'!A100,""=#"")"),"var48")</f>
        <v>var48</v>
      </c>
      <c r="B50" s="24">
        <f ca="1">_xlfn.IFERROR(__xludf.DUMMYFUNCTION("""COMPUTED_VALUE"""),41)</f>
        <v>41</v>
      </c>
      <c r="C50" s="24" t="str">
        <f ca="1">_xlfn.IFERROR(__xludf.DUMMYFUNCTION("""COMPUTED_VALUE"""),"int")</f>
        <v>int</v>
      </c>
      <c r="D50" s="25" t="str">
        <f ca="1">_xlfn.IFERROR(__xludf.DUMMYFUNCTION("""COMPUTED_VALUE"""),"Pump2.MbState")</f>
        <v>Pump2.MbState</v>
      </c>
      <c r="E50" s="26" t="str">
        <f ca="1">_xlfn.IFERROR(__xludf.DUMMYFUNCTION("""COMPUTED_VALUE"""),"Насос №2. Статус связи с ПЧ (0-отключен, 1-отказ, 2-норма)")</f>
        <v>Насос №2. Статус связи с ПЧ (0-отключен, 1-отказ, 2-норма)</v>
      </c>
    </row>
    <row r="51" spans="1:5" ht="12.75">
      <c r="A51" s="24" t="str">
        <f ca="1">_xlfn.IFERROR(__xludf.DUMMYFUNCTION("SPLIT('файл map'!A101,""=#"")"),"var49")</f>
        <v>var49</v>
      </c>
      <c r="B51" s="24">
        <f ca="1">_xlfn.IFERROR(__xludf.DUMMYFUNCTION("""COMPUTED_VALUE"""),42)</f>
        <v>42</v>
      </c>
      <c r="C51" s="24" t="str">
        <f ca="1">_xlfn.IFERROR(__xludf.DUMMYFUNCTION("""COMPUTED_VALUE"""),"real")</f>
        <v>real</v>
      </c>
      <c r="D51" s="25" t="str">
        <f ca="1">_xlfn.IFERROR(__xludf.DUMMYFUNCTION("""COMPUTED_VALUE"""),"Pump2.TaskFreq")</f>
        <v>Pump2.TaskFreq</v>
      </c>
      <c r="E51" s="26" t="str">
        <f ca="1">_xlfn.IFERROR(__xludf.DUMMYFUNCTION("""COMPUTED_VALUE"""),"Насос №2. Задание частоты, Гц")</f>
        <v>Насос №2. Задание частоты, Гц</v>
      </c>
    </row>
    <row r="52" spans="1:5" ht="12.75">
      <c r="A52" s="24" t="str">
        <f ca="1">_xlfn.IFERROR(__xludf.DUMMYFUNCTION("SPLIT('файл map'!A102,""=#"")"),"var50")</f>
        <v>var50</v>
      </c>
      <c r="B52" s="24">
        <f ca="1">_xlfn.IFERROR(__xludf.DUMMYFUNCTION("""COMPUTED_VALUE"""),44)</f>
        <v>44</v>
      </c>
      <c r="C52" s="24" t="str">
        <f ca="1">_xlfn.IFERROR(__xludf.DUMMYFUNCTION("""COMPUTED_VALUE"""),"real")</f>
        <v>real</v>
      </c>
      <c r="D52" s="25" t="str">
        <f ca="1">_xlfn.IFERROR(__xludf.DUMMYFUNCTION("""COMPUTED_VALUE"""),"Pump2.OutFreq")</f>
        <v>Pump2.OutFreq</v>
      </c>
      <c r="E52" s="26" t="str">
        <f ca="1">_xlfn.IFERROR(__xludf.DUMMYFUNCTION("""COMPUTED_VALUE"""),"Насос №2. Выходная частота, Гц")</f>
        <v>Насос №2. Выходная частота, Гц</v>
      </c>
    </row>
    <row r="53" spans="1:5" ht="12.75">
      <c r="A53" s="24" t="str">
        <f ca="1">_xlfn.IFERROR(__xludf.DUMMYFUNCTION("SPLIT('файл map'!A103,""=#"")"),"var51")</f>
        <v>var51</v>
      </c>
      <c r="B53" s="24">
        <f ca="1">_xlfn.IFERROR(__xludf.DUMMYFUNCTION("""COMPUTED_VALUE"""),46)</f>
        <v>46</v>
      </c>
      <c r="C53" s="24" t="str">
        <f ca="1">_xlfn.IFERROR(__xludf.DUMMYFUNCTION("""COMPUTED_VALUE"""),"real")</f>
        <v>real</v>
      </c>
      <c r="D53" s="25" t="str">
        <f ca="1">_xlfn.IFERROR(__xludf.DUMMYFUNCTION("""COMPUTED_VALUE"""),"Pump2.Voltage")</f>
        <v>Pump2.Voltage</v>
      </c>
      <c r="E53" s="26" t="str">
        <f ca="1">_xlfn.IFERROR(__xludf.DUMMYFUNCTION("""COMPUTED_VALUE"""),"Насос №2. Напряжение двигателя, В")</f>
        <v>Насос №2. Напряжение двигателя, В</v>
      </c>
    </row>
    <row r="54" spans="1:5" ht="12.75">
      <c r="A54" s="24" t="str">
        <f ca="1">_xlfn.IFERROR(__xludf.DUMMYFUNCTION("SPLIT('файл map'!A104,""=#"")"),"var52")</f>
        <v>var52</v>
      </c>
      <c r="B54" s="24">
        <f ca="1">_xlfn.IFERROR(__xludf.DUMMYFUNCTION("""COMPUTED_VALUE"""),48)</f>
        <v>48</v>
      </c>
      <c r="C54" s="24" t="str">
        <f ca="1">_xlfn.IFERROR(__xludf.DUMMYFUNCTION("""COMPUTED_VALUE"""),"real")</f>
        <v>real</v>
      </c>
      <c r="D54" s="25" t="str">
        <f ca="1">_xlfn.IFERROR(__xludf.DUMMYFUNCTION("""COMPUTED_VALUE"""),"Pump2.Current")</f>
        <v>Pump2.Current</v>
      </c>
      <c r="E54" s="26" t="str">
        <f ca="1">_xlfn.IFERROR(__xludf.DUMMYFUNCTION("""COMPUTED_VALUE"""),"Насос №2. Ток двигателя, А")</f>
        <v>Насос №2. Ток двигателя, А</v>
      </c>
    </row>
    <row r="55" spans="1:5" ht="12.75">
      <c r="A55" s="24" t="str">
        <f ca="1">_xlfn.IFERROR(__xludf.DUMMYFUNCTION("SPLIT('файл map'!A105,""=#"")"),"var53")</f>
        <v>var53</v>
      </c>
      <c r="B55" s="24" t="str">
        <f ca="1">_xlfn.IFERROR(__xludf.DUMMYFUNCTION("""COMPUTED_VALUE"""),"4a")</f>
        <v>4a</v>
      </c>
      <c r="C55" s="24" t="str">
        <f ca="1">_xlfn.IFERROR(__xludf.DUMMYFUNCTION("""COMPUTED_VALUE"""),"int")</f>
        <v>int</v>
      </c>
      <c r="D55" s="25" t="str">
        <f ca="1">_xlfn.IFERROR(__xludf.DUMMYFUNCTION("""COMPUTED_VALUE"""),"Pump2.LastFaultCode")</f>
        <v>Pump2.LastFaultCode</v>
      </c>
      <c r="E55" s="26" t="str">
        <f ca="1">_xlfn.IFERROR(__xludf.DUMMYFUNCTION("""COMPUTED_VALUE"""),"Насос №2. Сохраненый код отказа ПЧ (см. инструкцию ПЧ)")</f>
        <v>Насос №2. Сохраненый код отказа ПЧ (см. инструкцию ПЧ)</v>
      </c>
    </row>
    <row r="56" spans="1:5" ht="25.5">
      <c r="A56" s="24" t="str">
        <f ca="1">_xlfn.IFERROR(__xludf.DUMMYFUNCTION("SPLIT('файл map'!A106,""=#"")"),"var54")</f>
        <v>var54</v>
      </c>
      <c r="B56" s="24" t="str">
        <f ca="1">_xlfn.IFERROR(__xludf.DUMMYFUNCTION("""COMPUTED_VALUE"""),"4b")</f>
        <v>4b</v>
      </c>
      <c r="C56" s="24" t="str">
        <f ca="1">_xlfn.IFERROR(__xludf.DUMMYFUNCTION("""COMPUTED_VALUE"""),"int")</f>
        <v>int</v>
      </c>
      <c r="D56" s="25" t="str">
        <f ca="1">_xlfn.IFERROR(__xludf.DUMMYFUNCTION("""COMPUTED_VALUE"""),"Pump3.Mode")</f>
        <v>Pump3.Mode</v>
      </c>
      <c r="E56" s="26" t="str">
        <f ca="1">_xlfn.IFERROR(__xludf.DUMMYFUNCTION("""COMPUTED_VALUE"""),"Насос №3. Режим управления (0-НОЛЬ, 1-МЕСТ, 2-РУЧН, 3-АВТО)")</f>
        <v>Насос №3. Режим управления (0-НОЛЬ, 1-МЕСТ, 2-РУЧН, 3-АВТО)</v>
      </c>
    </row>
    <row r="57" spans="1:5" ht="25.5">
      <c r="A57" s="24" t="str">
        <f ca="1">_xlfn.IFERROR(__xludf.DUMMYFUNCTION("SPLIT('файл map'!A107,""=#"")"),"var55")</f>
        <v>var55</v>
      </c>
      <c r="B57" s="24" t="str">
        <f ca="1">_xlfn.IFERROR(__xludf.DUMMYFUNCTION("""COMPUTED_VALUE"""),"4c")</f>
        <v>4c</v>
      </c>
      <c r="C57" s="24" t="str">
        <f ca="1">_xlfn.IFERROR(__xludf.DUMMYFUNCTION("""COMPUTED_VALUE"""),"int")</f>
        <v>int</v>
      </c>
      <c r="D57" s="25" t="str">
        <f ca="1">_xlfn.IFERROR(__xludf.DUMMYFUNCTION("""COMPUTED_VALUE"""),"Pump3.State")</f>
        <v>Pump3.State</v>
      </c>
      <c r="E57" s="26" t="str">
        <f ca="1">_xlfn.IFERROR(__xludf.DUMMYFUNCTION("""COMPUTED_VALUE"""),"Насос №3. Статус (0-не существует, 1-запрещен, 2-авария, 3-работа и пуск, 4-работа без пуска, 5-пуск, 6-стоп)")</f>
        <v>Насос №3. Статус (0-не существует, 1-запрещен, 2-авария, 3-работа и пуск, 4-работа без пуска, 5-пуск, 6-стоп)</v>
      </c>
    </row>
    <row r="58" spans="1:5" ht="63.75">
      <c r="A58" s="24" t="str">
        <f ca="1">_xlfn.IFERROR(__xludf.DUMMYFUNCTION("SPLIT('файл map'!A108,""=#"")"),"var56")</f>
        <v>var56</v>
      </c>
      <c r="B58" s="24" t="str">
        <f ca="1">_xlfn.IFERROR(__xludf.DUMMYFUNCTION("""COMPUTED_VALUE"""),"4d")</f>
        <v>4d</v>
      </c>
      <c r="C58" s="24" t="str">
        <f ca="1">_xlfn.IFERROR(__xludf.DUMMYFUNCTION("""COMPUTED_VALUE"""),"int")</f>
        <v>int</v>
      </c>
      <c r="D58" s="25" t="str">
        <f ca="1">_xlfn.IFERROR(__xludf.DUMMYFUNCTION("""COMPUTED_VALUE"""),"Pump3.BitState")</f>
        <v>Pump3.BitState</v>
      </c>
      <c r="E58" s="26" t="str">
        <f ca="1">_xlfn.IFERROR(__xludf.DUMMYFUNCTION("""COMPUTED_VALUE"""),"Насос №3.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b14-пус"&amp;"к от ПЧ, b15-)")</f>
        <v>Насос №3.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59" spans="1:5" ht="12.75">
      <c r="A59" s="24" t="str">
        <f ca="1">_xlfn.IFERROR(__xludf.DUMMYFUNCTION("SPLIT('файл map'!A109,""=#"")"),"var57")</f>
        <v>var57</v>
      </c>
      <c r="B59" s="24" t="str">
        <f ca="1">_xlfn.IFERROR(__xludf.DUMMYFUNCTION("""COMPUTED_VALUE"""),"4e")</f>
        <v>4e</v>
      </c>
      <c r="C59" s="24" t="str">
        <f ca="1">_xlfn.IFERROR(__xludf.DUMMYFUNCTION("""COMPUTED_VALUE"""),"real")</f>
        <v>real</v>
      </c>
      <c r="D59" s="25" t="str">
        <f ca="1">_xlfn.IFERROR(__xludf.DUMMYFUNCTION("""COMPUTED_VALUE"""),"Pump3.RT hh.mm")</f>
        <v>Pump3.RT hh.mm</v>
      </c>
      <c r="E59" s="26" t="str">
        <f ca="1">_xlfn.IFERROR(__xludf.DUMMYFUNCTION("""COMPUTED_VALUE"""),"Насос №3. Наработка в формате ЧЧ.ММ")</f>
        <v>Насос №3. Наработка в формате ЧЧ.ММ</v>
      </c>
    </row>
    <row r="60" spans="1:5" ht="12.75">
      <c r="A60" s="24" t="str">
        <f ca="1">_xlfn.IFERROR(__xludf.DUMMYFUNCTION("SPLIT('файл map'!A110,""=#"")"),"var58")</f>
        <v>var58</v>
      </c>
      <c r="B60" s="24">
        <f ca="1">_xlfn.IFERROR(__xludf.DUMMYFUNCTION("""COMPUTED_VALUE"""),50)</f>
        <v>50</v>
      </c>
      <c r="C60" s="24" t="str">
        <f ca="1">_xlfn.IFERROR(__xludf.DUMMYFUNCTION("""COMPUTED_VALUE"""),"long")</f>
        <v>long</v>
      </c>
      <c r="D60" s="25" t="str">
        <f ca="1">_xlfn.IFERROR(__xludf.DUMMYFUNCTION("""COMPUTED_VALUE"""),"Pump3.NumStarts")</f>
        <v>Pump3.NumStarts</v>
      </c>
      <c r="E60" s="26" t="str">
        <f ca="1">_xlfn.IFERROR(__xludf.DUMMYFUNCTION("""COMPUTED_VALUE"""),"Насос №3. Количество пусков")</f>
        <v>Насос №3. Количество пусков</v>
      </c>
    </row>
    <row r="61" spans="1:5" ht="12.75">
      <c r="A61" s="24" t="str">
        <f ca="1">_xlfn.IFERROR(__xludf.DUMMYFUNCTION("SPLIT('файл map'!A111,""=#"")"),"var59")</f>
        <v>var59</v>
      </c>
      <c r="B61" s="24">
        <f ca="1">_xlfn.IFERROR(__xludf.DUMMYFUNCTION("""COMPUTED_VALUE"""),52)</f>
        <v>52</v>
      </c>
      <c r="C61" s="24" t="str">
        <f ca="1">_xlfn.IFERROR(__xludf.DUMMYFUNCTION("""COMPUTED_VALUE"""),"int")</f>
        <v>int</v>
      </c>
      <c r="D61" s="25" t="str">
        <f ca="1">_xlfn.IFERROR(__xludf.DUMMYFUNCTION("""COMPUTED_VALUE"""),"Pump3.MbState")</f>
        <v>Pump3.MbState</v>
      </c>
      <c r="E61" s="26" t="str">
        <f ca="1">_xlfn.IFERROR(__xludf.DUMMYFUNCTION("""COMPUTED_VALUE"""),"Насос №3. Статус связи с ПЧ (0-отключен, 1-отказ, 2-норма)")</f>
        <v>Насос №3. Статус связи с ПЧ (0-отключен, 1-отказ, 2-норма)</v>
      </c>
    </row>
    <row r="62" spans="1:5" ht="12.75">
      <c r="A62" s="24" t="str">
        <f ca="1">_xlfn.IFERROR(__xludf.DUMMYFUNCTION("SPLIT('файл map'!A112,""=#"")"),"var60")</f>
        <v>var60</v>
      </c>
      <c r="B62" s="24">
        <f ca="1">_xlfn.IFERROR(__xludf.DUMMYFUNCTION("""COMPUTED_VALUE"""),53)</f>
        <v>53</v>
      </c>
      <c r="C62" s="24" t="str">
        <f ca="1">_xlfn.IFERROR(__xludf.DUMMYFUNCTION("""COMPUTED_VALUE"""),"real")</f>
        <v>real</v>
      </c>
      <c r="D62" s="25" t="str">
        <f ca="1">_xlfn.IFERROR(__xludf.DUMMYFUNCTION("""COMPUTED_VALUE"""),"Pump3.TaskFreq")</f>
        <v>Pump3.TaskFreq</v>
      </c>
      <c r="E62" s="26" t="str">
        <f ca="1">_xlfn.IFERROR(__xludf.DUMMYFUNCTION("""COMPUTED_VALUE"""),"Насос №3. Задание частоты, Гц")</f>
        <v>Насос №3. Задание частоты, Гц</v>
      </c>
    </row>
    <row r="63" spans="1:5" ht="12.75">
      <c r="A63" s="24" t="str">
        <f ca="1">_xlfn.IFERROR(__xludf.DUMMYFUNCTION("SPLIT('файл map'!A113,""=#"")"),"var61")</f>
        <v>var61</v>
      </c>
      <c r="B63" s="24">
        <f ca="1">_xlfn.IFERROR(__xludf.DUMMYFUNCTION("""COMPUTED_VALUE"""),55)</f>
        <v>55</v>
      </c>
      <c r="C63" s="24" t="str">
        <f ca="1">_xlfn.IFERROR(__xludf.DUMMYFUNCTION("""COMPUTED_VALUE"""),"real")</f>
        <v>real</v>
      </c>
      <c r="D63" s="25" t="str">
        <f ca="1">_xlfn.IFERROR(__xludf.DUMMYFUNCTION("""COMPUTED_VALUE"""),"Pump3.OutFreq")</f>
        <v>Pump3.OutFreq</v>
      </c>
      <c r="E63" s="26" t="str">
        <f ca="1">_xlfn.IFERROR(__xludf.DUMMYFUNCTION("""COMPUTED_VALUE"""),"Насос №3. Выходная частота, Гц")</f>
        <v>Насос №3. Выходная частота, Гц</v>
      </c>
    </row>
    <row r="64" spans="1:5" ht="12.75">
      <c r="A64" s="24" t="str">
        <f ca="1">_xlfn.IFERROR(__xludf.DUMMYFUNCTION("SPLIT('файл map'!A114,""=#"")"),"var62")</f>
        <v>var62</v>
      </c>
      <c r="B64" s="24">
        <f ca="1">_xlfn.IFERROR(__xludf.DUMMYFUNCTION("""COMPUTED_VALUE"""),57)</f>
        <v>57</v>
      </c>
      <c r="C64" s="24" t="str">
        <f ca="1">_xlfn.IFERROR(__xludf.DUMMYFUNCTION("""COMPUTED_VALUE"""),"real")</f>
        <v>real</v>
      </c>
      <c r="D64" s="25" t="str">
        <f ca="1">_xlfn.IFERROR(__xludf.DUMMYFUNCTION("""COMPUTED_VALUE"""),"Pump3.Voltage")</f>
        <v>Pump3.Voltage</v>
      </c>
      <c r="E64" s="26" t="str">
        <f ca="1">_xlfn.IFERROR(__xludf.DUMMYFUNCTION("""COMPUTED_VALUE"""),"Насос №3. Напряжение двигателя, В")</f>
        <v>Насос №3. Напряжение двигателя, В</v>
      </c>
    </row>
    <row r="65" spans="1:5" ht="12.75">
      <c r="A65" s="24" t="str">
        <f ca="1">_xlfn.IFERROR(__xludf.DUMMYFUNCTION("SPLIT('файл map'!A115,""=#"")"),"var63")</f>
        <v>var63</v>
      </c>
      <c r="B65" s="24">
        <f ca="1">_xlfn.IFERROR(__xludf.DUMMYFUNCTION("""COMPUTED_VALUE"""),59)</f>
        <v>59</v>
      </c>
      <c r="C65" s="24" t="str">
        <f ca="1">_xlfn.IFERROR(__xludf.DUMMYFUNCTION("""COMPUTED_VALUE"""),"real")</f>
        <v>real</v>
      </c>
      <c r="D65" s="25" t="str">
        <f ca="1">_xlfn.IFERROR(__xludf.DUMMYFUNCTION("""COMPUTED_VALUE"""),"Pump3.Current")</f>
        <v>Pump3.Current</v>
      </c>
      <c r="E65" s="26" t="str">
        <f ca="1">_xlfn.IFERROR(__xludf.DUMMYFUNCTION("""COMPUTED_VALUE"""),"Насос №3. Ток двигателя, А")</f>
        <v>Насос №3. Ток двигателя, А</v>
      </c>
    </row>
    <row r="66" spans="1:5" ht="12.75">
      <c r="A66" s="24" t="str">
        <f ca="1">_xlfn.IFERROR(__xludf.DUMMYFUNCTION("SPLIT('файл map'!A116,""=#"")"),"var64")</f>
        <v>var64</v>
      </c>
      <c r="B66" s="24" t="str">
        <f ca="1">_xlfn.IFERROR(__xludf.DUMMYFUNCTION("""COMPUTED_VALUE"""),"5b")</f>
        <v>5b</v>
      </c>
      <c r="C66" s="24" t="str">
        <f ca="1">_xlfn.IFERROR(__xludf.DUMMYFUNCTION("""COMPUTED_VALUE"""),"int")</f>
        <v>int</v>
      </c>
      <c r="D66" s="25" t="str">
        <f ca="1">_xlfn.IFERROR(__xludf.DUMMYFUNCTION("""COMPUTED_VALUE"""),"Pump3.LastFaultCode")</f>
        <v>Pump3.LastFaultCode</v>
      </c>
      <c r="E66" s="26" t="str">
        <f ca="1">_xlfn.IFERROR(__xludf.DUMMYFUNCTION("""COMPUTED_VALUE"""),"Насос №3. Сохраненый код отказа ПЧ (см. инструкцию ПЧ)")</f>
        <v>Насос №3. Сохраненый код отказа ПЧ (см. инструкцию ПЧ)</v>
      </c>
    </row>
    <row r="67" spans="1:5" ht="25.5">
      <c r="A67" s="24" t="str">
        <f ca="1">_xlfn.IFERROR(__xludf.DUMMYFUNCTION("SPLIT('файл map'!A117,""=#"")"),"var65")</f>
        <v>var65</v>
      </c>
      <c r="B67" s="24" t="str">
        <f ca="1">_xlfn.IFERROR(__xludf.DUMMYFUNCTION("""COMPUTED_VALUE"""),"5c")</f>
        <v>5c</v>
      </c>
      <c r="C67" s="24" t="str">
        <f ca="1">_xlfn.IFERROR(__xludf.DUMMYFUNCTION("""COMPUTED_VALUE"""),"int")</f>
        <v>int</v>
      </c>
      <c r="D67" s="25" t="str">
        <f ca="1">_xlfn.IFERROR(__xludf.DUMMYFUNCTION("""COMPUTED_VALUE"""),"Pump4.Mode")</f>
        <v>Pump4.Mode</v>
      </c>
      <c r="E67" s="26" t="str">
        <f ca="1">_xlfn.IFERROR(__xludf.DUMMYFUNCTION("""COMPUTED_VALUE"""),"Насос №4. Режим управления (0-НОЛЬ, 1-МЕСТ, 2-РУЧН, 3-АВТО)")</f>
        <v>Насос №4. Режим управления (0-НОЛЬ, 1-МЕСТ, 2-РУЧН, 3-АВТО)</v>
      </c>
    </row>
    <row r="68" spans="1:5" ht="25.5">
      <c r="A68" s="24" t="str">
        <f ca="1">_xlfn.IFERROR(__xludf.DUMMYFUNCTION("SPLIT('файл map'!A118,""=#"")"),"var66")</f>
        <v>var66</v>
      </c>
      <c r="B68" s="24" t="str">
        <f ca="1">_xlfn.IFERROR(__xludf.DUMMYFUNCTION("""COMPUTED_VALUE"""),"5d")</f>
        <v>5d</v>
      </c>
      <c r="C68" s="24" t="str">
        <f ca="1">_xlfn.IFERROR(__xludf.DUMMYFUNCTION("""COMPUTED_VALUE"""),"int")</f>
        <v>int</v>
      </c>
      <c r="D68" s="25" t="str">
        <f ca="1">_xlfn.IFERROR(__xludf.DUMMYFUNCTION("""COMPUTED_VALUE"""),"Pump4.State")</f>
        <v>Pump4.State</v>
      </c>
      <c r="E68" s="26" t="str">
        <f ca="1">_xlfn.IFERROR(__xludf.DUMMYFUNCTION("""COMPUTED_VALUE"""),"Насос №4. Статус (0-не существует, 1-запрещен, 2-авария, 3-работа и пуск, 4-работа без пуска, 5-пуск, 6-стоп)")</f>
        <v>Насос №4. Статус (0-не существует, 1-запрещен, 2-авария, 3-работа и пуск, 4-работа без пуска, 5-пуск, 6-стоп)</v>
      </c>
    </row>
    <row r="69" spans="1:5" ht="63.75">
      <c r="A69" s="24" t="str">
        <f ca="1">_xlfn.IFERROR(__xludf.DUMMYFUNCTION("SPLIT('файл map'!A119,""=#"")"),"var67")</f>
        <v>var67</v>
      </c>
      <c r="B69" s="24" t="str">
        <f ca="1">_xlfn.IFERROR(__xludf.DUMMYFUNCTION("""COMPUTED_VALUE"""),"5e")</f>
        <v>5e</v>
      </c>
      <c r="C69" s="24" t="str">
        <f ca="1">_xlfn.IFERROR(__xludf.DUMMYFUNCTION("""COMPUTED_VALUE"""),"int")</f>
        <v>int</v>
      </c>
      <c r="D69" s="25" t="str">
        <f ca="1">_xlfn.IFERROR(__xludf.DUMMYFUNCTION("""COMPUTED_VALUE"""),"Pump4.BitState")</f>
        <v>Pump4.BitState</v>
      </c>
      <c r="E69" s="26" t="str">
        <f ca="1">_xlfn.IFERROR(__xludf.DUMMYFUNCTION("""COMPUTED_VALUE"""),"Насос №4.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b14-пус"&amp;"к от ПЧ, b15-)")</f>
        <v>Насос №4.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70" spans="1:5" ht="12.75">
      <c r="A70" s="24" t="str">
        <f ca="1">_xlfn.IFERROR(__xludf.DUMMYFUNCTION("SPLIT('файл map'!A120,""=#"")"),"var68")</f>
        <v>var68</v>
      </c>
      <c r="B70" s="24" t="str">
        <f ca="1">_xlfn.IFERROR(__xludf.DUMMYFUNCTION("""COMPUTED_VALUE"""),"5f")</f>
        <v>5f</v>
      </c>
      <c r="C70" s="24" t="str">
        <f ca="1">_xlfn.IFERROR(__xludf.DUMMYFUNCTION("""COMPUTED_VALUE"""),"real")</f>
        <v>real</v>
      </c>
      <c r="D70" s="25" t="str">
        <f ca="1">_xlfn.IFERROR(__xludf.DUMMYFUNCTION("""COMPUTED_VALUE"""),"Pump4.RT hh.mm")</f>
        <v>Pump4.RT hh.mm</v>
      </c>
      <c r="E70" s="26" t="str">
        <f ca="1">_xlfn.IFERROR(__xludf.DUMMYFUNCTION("""COMPUTED_VALUE"""),"Насос №4. Наработка в формате ЧЧ.ММ")</f>
        <v>Насос №4. Наработка в формате ЧЧ.ММ</v>
      </c>
    </row>
    <row r="71" spans="1:5" ht="12.75">
      <c r="A71" s="24" t="str">
        <f ca="1">_xlfn.IFERROR(__xludf.DUMMYFUNCTION("SPLIT('файл map'!A121,""=#"")"),"var69")</f>
        <v>var69</v>
      </c>
      <c r="B71" s="24">
        <f ca="1">_xlfn.IFERROR(__xludf.DUMMYFUNCTION("""COMPUTED_VALUE"""),61)</f>
        <v>61</v>
      </c>
      <c r="C71" s="24" t="str">
        <f ca="1">_xlfn.IFERROR(__xludf.DUMMYFUNCTION("""COMPUTED_VALUE"""),"long")</f>
        <v>long</v>
      </c>
      <c r="D71" s="25" t="str">
        <f ca="1">_xlfn.IFERROR(__xludf.DUMMYFUNCTION("""COMPUTED_VALUE"""),"Pump4.NumStarts")</f>
        <v>Pump4.NumStarts</v>
      </c>
      <c r="E71" s="26" t="str">
        <f ca="1">_xlfn.IFERROR(__xludf.DUMMYFUNCTION("""COMPUTED_VALUE"""),"Насос №4. Количество пусков")</f>
        <v>Насос №4. Количество пусков</v>
      </c>
    </row>
    <row r="72" spans="1:5" ht="12.75">
      <c r="A72" s="24" t="str">
        <f ca="1">_xlfn.IFERROR(__xludf.DUMMYFUNCTION("SPLIT('файл map'!A122,""=#"")"),"var70")</f>
        <v>var70</v>
      </c>
      <c r="B72" s="24">
        <f ca="1">_xlfn.IFERROR(__xludf.DUMMYFUNCTION("""COMPUTED_VALUE"""),63)</f>
        <v>63</v>
      </c>
      <c r="C72" s="24" t="str">
        <f ca="1">_xlfn.IFERROR(__xludf.DUMMYFUNCTION("""COMPUTED_VALUE"""),"int")</f>
        <v>int</v>
      </c>
      <c r="D72" s="25" t="str">
        <f ca="1">_xlfn.IFERROR(__xludf.DUMMYFUNCTION("""COMPUTED_VALUE"""),"Pump4.MbState")</f>
        <v>Pump4.MbState</v>
      </c>
      <c r="E72" s="26" t="str">
        <f ca="1">_xlfn.IFERROR(__xludf.DUMMYFUNCTION("""COMPUTED_VALUE"""),"Насос №4. Статус связи с ПЧ (0-отключен, 1-отказ, 2-норма)")</f>
        <v>Насос №4. Статус связи с ПЧ (0-отключен, 1-отказ, 2-норма)</v>
      </c>
    </row>
    <row r="73" spans="1:5" ht="12.75">
      <c r="A73" s="24" t="str">
        <f ca="1">_xlfn.IFERROR(__xludf.DUMMYFUNCTION("SPLIT('файл map'!A123,""=#"")"),"var71")</f>
        <v>var71</v>
      </c>
      <c r="B73" s="24">
        <f ca="1">_xlfn.IFERROR(__xludf.DUMMYFUNCTION("""COMPUTED_VALUE"""),64)</f>
        <v>64</v>
      </c>
      <c r="C73" s="24" t="str">
        <f ca="1">_xlfn.IFERROR(__xludf.DUMMYFUNCTION("""COMPUTED_VALUE"""),"real")</f>
        <v>real</v>
      </c>
      <c r="D73" s="25" t="str">
        <f ca="1">_xlfn.IFERROR(__xludf.DUMMYFUNCTION("""COMPUTED_VALUE"""),"Pump4.TaskFreq")</f>
        <v>Pump4.TaskFreq</v>
      </c>
      <c r="E73" s="26" t="str">
        <f ca="1">_xlfn.IFERROR(__xludf.DUMMYFUNCTION("""COMPUTED_VALUE"""),"Насос №4. Задание частоты, Гц")</f>
        <v>Насос №4. Задание частоты, Гц</v>
      </c>
    </row>
    <row r="74" spans="1:5" ht="12.75">
      <c r="A74" s="24" t="str">
        <f ca="1">_xlfn.IFERROR(__xludf.DUMMYFUNCTION("SPLIT('файл map'!A124,""=#"")"),"var72")</f>
        <v>var72</v>
      </c>
      <c r="B74" s="24">
        <f ca="1">_xlfn.IFERROR(__xludf.DUMMYFUNCTION("""COMPUTED_VALUE"""),66)</f>
        <v>66</v>
      </c>
      <c r="C74" s="24" t="str">
        <f ca="1">_xlfn.IFERROR(__xludf.DUMMYFUNCTION("""COMPUTED_VALUE"""),"real")</f>
        <v>real</v>
      </c>
      <c r="D74" s="25" t="str">
        <f ca="1">_xlfn.IFERROR(__xludf.DUMMYFUNCTION("""COMPUTED_VALUE"""),"Pump4.OutFreq")</f>
        <v>Pump4.OutFreq</v>
      </c>
      <c r="E74" s="26" t="str">
        <f ca="1">_xlfn.IFERROR(__xludf.DUMMYFUNCTION("""COMPUTED_VALUE"""),"Насос №4. Выходная частота, Гц")</f>
        <v>Насос №4. Выходная частота, Гц</v>
      </c>
    </row>
    <row r="75" spans="1:5" ht="12.75">
      <c r="A75" s="24" t="str">
        <f ca="1">_xlfn.IFERROR(__xludf.DUMMYFUNCTION("SPLIT('файл map'!A125,""=#"")"),"var73")</f>
        <v>var73</v>
      </c>
      <c r="B75" s="24">
        <f ca="1">_xlfn.IFERROR(__xludf.DUMMYFUNCTION("""COMPUTED_VALUE"""),68)</f>
        <v>68</v>
      </c>
      <c r="C75" s="24" t="str">
        <f ca="1">_xlfn.IFERROR(__xludf.DUMMYFUNCTION("""COMPUTED_VALUE"""),"real")</f>
        <v>real</v>
      </c>
      <c r="D75" s="25" t="str">
        <f ca="1">_xlfn.IFERROR(__xludf.DUMMYFUNCTION("""COMPUTED_VALUE"""),"Pump4.Voltage")</f>
        <v>Pump4.Voltage</v>
      </c>
      <c r="E75" s="26" t="str">
        <f ca="1">_xlfn.IFERROR(__xludf.DUMMYFUNCTION("""COMPUTED_VALUE"""),"Насос №4. Напряжение двигателя, В")</f>
        <v>Насос №4. Напряжение двигателя, В</v>
      </c>
    </row>
    <row r="76" spans="1:5" ht="12.75">
      <c r="A76" s="24" t="str">
        <f ca="1">_xlfn.IFERROR(__xludf.DUMMYFUNCTION("SPLIT('файл map'!A126,""=#"")"),"var74")</f>
        <v>var74</v>
      </c>
      <c r="B76" s="24" t="str">
        <f ca="1">_xlfn.IFERROR(__xludf.DUMMYFUNCTION("""COMPUTED_VALUE"""),"6a")</f>
        <v>6a</v>
      </c>
      <c r="C76" s="24" t="str">
        <f ca="1">_xlfn.IFERROR(__xludf.DUMMYFUNCTION("""COMPUTED_VALUE"""),"real")</f>
        <v>real</v>
      </c>
      <c r="D76" s="25" t="str">
        <f ca="1">_xlfn.IFERROR(__xludf.DUMMYFUNCTION("""COMPUTED_VALUE"""),"Pump4.Current")</f>
        <v>Pump4.Current</v>
      </c>
      <c r="E76" s="26" t="str">
        <f ca="1">_xlfn.IFERROR(__xludf.DUMMYFUNCTION("""COMPUTED_VALUE"""),"Насос №4. Ток двигателя, А")</f>
        <v>Насос №4. Ток двигателя, А</v>
      </c>
    </row>
    <row r="77" spans="1:5" ht="12.75">
      <c r="A77" s="24" t="str">
        <f ca="1">_xlfn.IFERROR(__xludf.DUMMYFUNCTION("SPLIT('файл map'!A127,""=#"")"),"var75")</f>
        <v>var75</v>
      </c>
      <c r="B77" s="24" t="str">
        <f ca="1">_xlfn.IFERROR(__xludf.DUMMYFUNCTION("""COMPUTED_VALUE"""),"6c")</f>
        <v>6c</v>
      </c>
      <c r="C77" s="24" t="str">
        <f ca="1">_xlfn.IFERROR(__xludf.DUMMYFUNCTION("""COMPUTED_VALUE"""),"int")</f>
        <v>int</v>
      </c>
      <c r="D77" s="25" t="str">
        <f ca="1">_xlfn.IFERROR(__xludf.DUMMYFUNCTION("""COMPUTED_VALUE"""),"Pump4.LastFaultCode")</f>
        <v>Pump4.LastFaultCode</v>
      </c>
      <c r="E77" s="26" t="str">
        <f ca="1">_xlfn.IFERROR(__xludf.DUMMYFUNCTION("""COMPUTED_VALUE"""),"Насос №4. Сохраненый код отказа ПЧ (см. инструкцию ПЧ)")</f>
        <v>Насос №4. Сохраненый код отказа ПЧ (см. инструкцию ПЧ)</v>
      </c>
    </row>
    <row r="78" spans="1:5" ht="25.5">
      <c r="A78" s="24" t="str">
        <f ca="1">_xlfn.IFERROR(__xludf.DUMMYFUNCTION("SPLIT('файл map'!A128,""=#"")"),"var76")</f>
        <v>var76</v>
      </c>
      <c r="B78" s="24" t="str">
        <f ca="1">_xlfn.IFERROR(__xludf.DUMMYFUNCTION("""COMPUTED_VALUE"""),"6d")</f>
        <v>6d</v>
      </c>
      <c r="C78" s="24" t="str">
        <f ca="1">_xlfn.IFERROR(__xludf.DUMMYFUNCTION("""COMPUTED_VALUE"""),"int")</f>
        <v>int</v>
      </c>
      <c r="D78" s="25" t="str">
        <f ca="1">_xlfn.IFERROR(__xludf.DUMMYFUNCTION("""COMPUTED_VALUE"""),"Pump5.Mode")</f>
        <v>Pump5.Mode</v>
      </c>
      <c r="E78" s="26" t="str">
        <f ca="1">_xlfn.IFERROR(__xludf.DUMMYFUNCTION("""COMPUTED_VALUE"""),"Насос №5. Режим управления (0-НОЛЬ, 1-МЕСТ, 2-РУЧН, 3-АВТО)")</f>
        <v>Насос №5. Режим управления (0-НОЛЬ, 1-МЕСТ, 2-РУЧН, 3-АВТО)</v>
      </c>
    </row>
    <row r="79" spans="1:5" ht="25.5">
      <c r="A79" s="24" t="str">
        <f ca="1">_xlfn.IFERROR(__xludf.DUMMYFUNCTION("SPLIT('файл map'!A129,""=#"")"),"var77")</f>
        <v>var77</v>
      </c>
      <c r="B79" s="24" t="str">
        <f ca="1">_xlfn.IFERROR(__xludf.DUMMYFUNCTION("""COMPUTED_VALUE"""),"6e")</f>
        <v>6e</v>
      </c>
      <c r="C79" s="24" t="str">
        <f ca="1">_xlfn.IFERROR(__xludf.DUMMYFUNCTION("""COMPUTED_VALUE"""),"int")</f>
        <v>int</v>
      </c>
      <c r="D79" s="25" t="str">
        <f ca="1">_xlfn.IFERROR(__xludf.DUMMYFUNCTION("""COMPUTED_VALUE"""),"Pump5.State")</f>
        <v>Pump5.State</v>
      </c>
      <c r="E79" s="26" t="str">
        <f ca="1">_xlfn.IFERROR(__xludf.DUMMYFUNCTION("""COMPUTED_VALUE"""),"Насос №5. Статус (0-не существует, 1-запрещен, 2-авария, 3-работа и пуск, 4-работа без пуска, 5-пуск, 6-стоп)")</f>
        <v>Насос №5. Статус (0-не существует, 1-запрещен, 2-авария, 3-работа и пуск, 4-работа без пуска, 5-пуск, 6-стоп)</v>
      </c>
    </row>
    <row r="80" spans="1:5" ht="63.75">
      <c r="A80" s="24" t="str">
        <f ca="1">_xlfn.IFERROR(__xludf.DUMMYFUNCTION("SPLIT('файл map'!A130,""=#"")"),"var78")</f>
        <v>var78</v>
      </c>
      <c r="B80" s="24" t="str">
        <f ca="1">_xlfn.IFERROR(__xludf.DUMMYFUNCTION("""COMPUTED_VALUE"""),"6f")</f>
        <v>6f</v>
      </c>
      <c r="C80" s="24" t="str">
        <f ca="1">_xlfn.IFERROR(__xludf.DUMMYFUNCTION("""COMPUTED_VALUE"""),"int")</f>
        <v>int</v>
      </c>
      <c r="D80" s="25" t="str">
        <f ca="1">_xlfn.IFERROR(__xludf.DUMMYFUNCTION("""COMPUTED_VALUE"""),"Pump5.BitState")</f>
        <v>Pump5.BitState</v>
      </c>
      <c r="E80" s="26" t="str">
        <f ca="1">_xlfn.IFERROR(__xludf.DUMMYFUNCTION("""COMPUTED_VALUE"""),"Насос №5.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b14-пус"&amp;"к от ПЧ, b15-)")</f>
        <v>Насос №5.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81" spans="1:5" ht="12.75">
      <c r="A81" s="24" t="str">
        <f ca="1">_xlfn.IFERROR(__xludf.DUMMYFUNCTION("SPLIT('файл map'!A131,""=#"")"),"var79")</f>
        <v>var79</v>
      </c>
      <c r="B81" s="24">
        <f ca="1">_xlfn.IFERROR(__xludf.DUMMYFUNCTION("""COMPUTED_VALUE"""),70)</f>
        <v>70</v>
      </c>
      <c r="C81" s="24" t="str">
        <f ca="1">_xlfn.IFERROR(__xludf.DUMMYFUNCTION("""COMPUTED_VALUE"""),"real")</f>
        <v>real</v>
      </c>
      <c r="D81" s="25" t="str">
        <f ca="1">_xlfn.IFERROR(__xludf.DUMMYFUNCTION("""COMPUTED_VALUE"""),"Pump5.RT hh.mm")</f>
        <v>Pump5.RT hh.mm</v>
      </c>
      <c r="E81" s="26" t="str">
        <f ca="1">_xlfn.IFERROR(__xludf.DUMMYFUNCTION("""COMPUTED_VALUE"""),"Насос №5. Наработка в формате ЧЧ.ММ")</f>
        <v>Насос №5. Наработка в формате ЧЧ.ММ</v>
      </c>
    </row>
    <row r="82" spans="1:5" ht="12.75">
      <c r="A82" s="24" t="str">
        <f ca="1">_xlfn.IFERROR(__xludf.DUMMYFUNCTION("SPLIT('файл map'!A132,""=#"")"),"var80")</f>
        <v>var80</v>
      </c>
      <c r="B82" s="24">
        <f ca="1">_xlfn.IFERROR(__xludf.DUMMYFUNCTION("""COMPUTED_VALUE"""),72)</f>
        <v>72</v>
      </c>
      <c r="C82" s="24" t="str">
        <f ca="1">_xlfn.IFERROR(__xludf.DUMMYFUNCTION("""COMPUTED_VALUE"""),"long")</f>
        <v>long</v>
      </c>
      <c r="D82" s="25" t="str">
        <f ca="1">_xlfn.IFERROR(__xludf.DUMMYFUNCTION("""COMPUTED_VALUE"""),"Pump5.NumStarts")</f>
        <v>Pump5.NumStarts</v>
      </c>
      <c r="E82" s="26" t="str">
        <f ca="1">_xlfn.IFERROR(__xludf.DUMMYFUNCTION("""COMPUTED_VALUE"""),"Насос №5. Количество пусков")</f>
        <v>Насос №5. Количество пусков</v>
      </c>
    </row>
    <row r="83" spans="1:5" ht="12.75">
      <c r="A83" s="24" t="str">
        <f ca="1">_xlfn.IFERROR(__xludf.DUMMYFUNCTION("SPLIT('файл map'!A133,""=#"")"),"var81")</f>
        <v>var81</v>
      </c>
      <c r="B83" s="24">
        <f ca="1">_xlfn.IFERROR(__xludf.DUMMYFUNCTION("""COMPUTED_VALUE"""),74)</f>
        <v>74</v>
      </c>
      <c r="C83" s="24" t="str">
        <f ca="1">_xlfn.IFERROR(__xludf.DUMMYFUNCTION("""COMPUTED_VALUE"""),"int")</f>
        <v>int</v>
      </c>
      <c r="D83" s="25" t="str">
        <f ca="1">_xlfn.IFERROR(__xludf.DUMMYFUNCTION("""COMPUTED_VALUE"""),"Pump5.MbState")</f>
        <v>Pump5.MbState</v>
      </c>
      <c r="E83" s="26" t="str">
        <f ca="1">_xlfn.IFERROR(__xludf.DUMMYFUNCTION("""COMPUTED_VALUE"""),"Насос №5. Статус связи с ПЧ (0-отключен, 1-отказ, 2-норма)")</f>
        <v>Насос №5. Статус связи с ПЧ (0-отключен, 1-отказ, 2-норма)</v>
      </c>
    </row>
    <row r="84" spans="1:5" ht="12.75">
      <c r="A84" s="24" t="str">
        <f ca="1">_xlfn.IFERROR(__xludf.DUMMYFUNCTION("SPLIT('файл map'!A134,""=#"")"),"var82")</f>
        <v>var82</v>
      </c>
      <c r="B84" s="24">
        <f ca="1">_xlfn.IFERROR(__xludf.DUMMYFUNCTION("""COMPUTED_VALUE"""),75)</f>
        <v>75</v>
      </c>
      <c r="C84" s="24" t="str">
        <f ca="1">_xlfn.IFERROR(__xludf.DUMMYFUNCTION("""COMPUTED_VALUE"""),"real")</f>
        <v>real</v>
      </c>
      <c r="D84" s="25" t="str">
        <f ca="1">_xlfn.IFERROR(__xludf.DUMMYFUNCTION("""COMPUTED_VALUE"""),"Pump5.TaskFreq")</f>
        <v>Pump5.TaskFreq</v>
      </c>
      <c r="E84" s="26" t="str">
        <f ca="1">_xlfn.IFERROR(__xludf.DUMMYFUNCTION("""COMPUTED_VALUE"""),"Насос №5. Задание частоты, Гц")</f>
        <v>Насос №5. Задание частоты, Гц</v>
      </c>
    </row>
    <row r="85" spans="1:5" ht="12.75">
      <c r="A85" s="24" t="str">
        <f ca="1">_xlfn.IFERROR(__xludf.DUMMYFUNCTION("SPLIT('файл map'!A135,""=#"")"),"var83")</f>
        <v>var83</v>
      </c>
      <c r="B85" s="24">
        <f ca="1">_xlfn.IFERROR(__xludf.DUMMYFUNCTION("""COMPUTED_VALUE"""),77)</f>
        <v>77</v>
      </c>
      <c r="C85" s="24" t="str">
        <f ca="1">_xlfn.IFERROR(__xludf.DUMMYFUNCTION("""COMPUTED_VALUE"""),"real")</f>
        <v>real</v>
      </c>
      <c r="D85" s="25" t="str">
        <f ca="1">_xlfn.IFERROR(__xludf.DUMMYFUNCTION("""COMPUTED_VALUE"""),"Pump5.OutFreq")</f>
        <v>Pump5.OutFreq</v>
      </c>
      <c r="E85" s="26" t="str">
        <f ca="1">_xlfn.IFERROR(__xludf.DUMMYFUNCTION("""COMPUTED_VALUE"""),"Насос №5. Выходная частота, Гц")</f>
        <v>Насос №5. Выходная частота, Гц</v>
      </c>
    </row>
    <row r="86" spans="1:5" ht="12.75">
      <c r="A86" s="24" t="str">
        <f ca="1">_xlfn.IFERROR(__xludf.DUMMYFUNCTION("SPLIT('файл map'!A136,""=#"")"),"var84")</f>
        <v>var84</v>
      </c>
      <c r="B86" s="24">
        <f ca="1">_xlfn.IFERROR(__xludf.DUMMYFUNCTION("""COMPUTED_VALUE"""),79)</f>
        <v>79</v>
      </c>
      <c r="C86" s="24" t="str">
        <f ca="1">_xlfn.IFERROR(__xludf.DUMMYFUNCTION("""COMPUTED_VALUE"""),"real")</f>
        <v>real</v>
      </c>
      <c r="D86" s="25" t="str">
        <f ca="1">_xlfn.IFERROR(__xludf.DUMMYFUNCTION("""COMPUTED_VALUE"""),"Pump5.Voltage")</f>
        <v>Pump5.Voltage</v>
      </c>
      <c r="E86" s="26" t="str">
        <f ca="1">_xlfn.IFERROR(__xludf.DUMMYFUNCTION("""COMPUTED_VALUE"""),"Насос №5. Напряжение двигателя, В")</f>
        <v>Насос №5. Напряжение двигателя, В</v>
      </c>
    </row>
    <row r="87" spans="1:5" ht="12.75">
      <c r="A87" s="24" t="str">
        <f ca="1">_xlfn.IFERROR(__xludf.DUMMYFUNCTION("SPLIT('файл map'!A137,""=#"")"),"var85")</f>
        <v>var85</v>
      </c>
      <c r="B87" s="24" t="str">
        <f ca="1">_xlfn.IFERROR(__xludf.DUMMYFUNCTION("""COMPUTED_VALUE"""),"7b")</f>
        <v>7b</v>
      </c>
      <c r="C87" s="24" t="str">
        <f ca="1">_xlfn.IFERROR(__xludf.DUMMYFUNCTION("""COMPUTED_VALUE"""),"real")</f>
        <v>real</v>
      </c>
      <c r="D87" s="25" t="str">
        <f ca="1">_xlfn.IFERROR(__xludf.DUMMYFUNCTION("""COMPUTED_VALUE"""),"Pump5.Current")</f>
        <v>Pump5.Current</v>
      </c>
      <c r="E87" s="26" t="str">
        <f ca="1">_xlfn.IFERROR(__xludf.DUMMYFUNCTION("""COMPUTED_VALUE"""),"Насос №5. Ток двигателя, А")</f>
        <v>Насос №5. Ток двигателя, А</v>
      </c>
    </row>
    <row r="88" spans="1:5" ht="12.75">
      <c r="A88" s="24" t="str">
        <f ca="1">_xlfn.IFERROR(__xludf.DUMMYFUNCTION("SPLIT('файл map'!A138,""=#"")"),"var86")</f>
        <v>var86</v>
      </c>
      <c r="B88" s="24" t="str">
        <f ca="1">_xlfn.IFERROR(__xludf.DUMMYFUNCTION("""COMPUTED_VALUE"""),"7d")</f>
        <v>7d</v>
      </c>
      <c r="C88" s="24" t="str">
        <f ca="1">_xlfn.IFERROR(__xludf.DUMMYFUNCTION("""COMPUTED_VALUE"""),"int")</f>
        <v>int</v>
      </c>
      <c r="D88" s="25" t="str">
        <f ca="1">_xlfn.IFERROR(__xludf.DUMMYFUNCTION("""COMPUTED_VALUE"""),"Pump5.LastFaultCode")</f>
        <v>Pump5.LastFaultCode</v>
      </c>
      <c r="E88" s="26" t="str">
        <f ca="1">_xlfn.IFERROR(__xludf.DUMMYFUNCTION("""COMPUTED_VALUE"""),"Насос №5. Сохраненый код отказа ПЧ (см. инструкцию ПЧ)")</f>
        <v>Насос №5. Сохраненый код отказа ПЧ (см. инструкцию ПЧ)</v>
      </c>
    </row>
    <row r="89" spans="1:5" ht="25.5">
      <c r="A89" s="24" t="str">
        <f ca="1">_xlfn.IFERROR(__xludf.DUMMYFUNCTION("SPLIT('файл map'!A139,""=#"")"),"var87")</f>
        <v>var87</v>
      </c>
      <c r="B89" s="24" t="str">
        <f ca="1">_xlfn.IFERROR(__xludf.DUMMYFUNCTION("""COMPUTED_VALUE"""),"7e")</f>
        <v>7e</v>
      </c>
      <c r="C89" s="24" t="str">
        <f ca="1">_xlfn.IFERROR(__xludf.DUMMYFUNCTION("""COMPUTED_VALUE"""),"int")</f>
        <v>int</v>
      </c>
      <c r="D89" s="25" t="str">
        <f ca="1">_xlfn.IFERROR(__xludf.DUMMYFUNCTION("""COMPUTED_VALUE"""),"Pump6.Mode")</f>
        <v>Pump6.Mode</v>
      </c>
      <c r="E89" s="26" t="str">
        <f ca="1">_xlfn.IFERROR(__xludf.DUMMYFUNCTION("""COMPUTED_VALUE"""),"Насос №6. Режим управления (0-НОЛЬ, 1-МЕСТ, 2-РУЧН, 3-АВТО)")</f>
        <v>Насос №6. Режим управления (0-НОЛЬ, 1-МЕСТ, 2-РУЧН, 3-АВТО)</v>
      </c>
    </row>
    <row r="90" spans="1:5" ht="25.5">
      <c r="A90" s="24" t="str">
        <f ca="1">_xlfn.IFERROR(__xludf.DUMMYFUNCTION("SPLIT('файл map'!A140,""=#"")"),"var88")</f>
        <v>var88</v>
      </c>
      <c r="B90" s="24" t="str">
        <f ca="1">_xlfn.IFERROR(__xludf.DUMMYFUNCTION("""COMPUTED_VALUE"""),"7f")</f>
        <v>7f</v>
      </c>
      <c r="C90" s="24" t="str">
        <f ca="1">_xlfn.IFERROR(__xludf.DUMMYFUNCTION("""COMPUTED_VALUE"""),"int")</f>
        <v>int</v>
      </c>
      <c r="D90" s="25" t="str">
        <f ca="1">_xlfn.IFERROR(__xludf.DUMMYFUNCTION("""COMPUTED_VALUE"""),"Pump6.State")</f>
        <v>Pump6.State</v>
      </c>
      <c r="E90" s="26" t="str">
        <f ca="1">_xlfn.IFERROR(__xludf.DUMMYFUNCTION("""COMPUTED_VALUE"""),"Насос №6. Статус (0-не существует, 1-запрещен, 2-авария, 3-работа и пуск, 4-работа без пуска, 5-пуск, 6-стоп)")</f>
        <v>Насос №6. Статус (0-не существует, 1-запрещен, 2-авария, 3-работа и пуск, 4-работа без пуска, 5-пуск, 6-стоп)</v>
      </c>
    </row>
    <row r="91" spans="1:5" ht="63.75">
      <c r="A91" s="24" t="str">
        <f ca="1">_xlfn.IFERROR(__xludf.DUMMYFUNCTION("SPLIT('файл map'!A141,""=#"")"),"var89")</f>
        <v>var89</v>
      </c>
      <c r="B91" s="24">
        <f ca="1">_xlfn.IFERROR(__xludf.DUMMYFUNCTION("""COMPUTED_VALUE"""),80)</f>
        <v>80</v>
      </c>
      <c r="C91" s="24" t="str">
        <f ca="1">_xlfn.IFERROR(__xludf.DUMMYFUNCTION("""COMPUTED_VALUE"""),"int")</f>
        <v>int</v>
      </c>
      <c r="D91" s="25" t="str">
        <f ca="1">_xlfn.IFERROR(__xludf.DUMMYFUNCTION("""COMPUTED_VALUE"""),"Pump6.BitState")</f>
        <v>Pump6.BitState</v>
      </c>
      <c r="E91" s="26" t="str">
        <f ca="1">_xlfn.IFERROR(__xludf.DUMMYFUNCTION("""COMPUTED_VALUE"""),"Насос №6.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b14-пус"&amp;"к от ПЧ, b15-)")</f>
        <v>Насос №6. Побитовый статус (b0-существует, b1-разрешен, b2-готов, b3-режим НОЛЬ, b4-режим МЕСТ, b5-режим РУЧН, b6-режим АВТО, b7-авария(общая), b8-авария DI(резерв), b9-нет связи с ПЧ, b10-авария ПЧ, b11-работа, b12-пуск, b13-пуск от сети(резерв), b14-пуск от ПЧ, b15-)</v>
      </c>
    </row>
    <row r="92" spans="1:5" ht="12.75">
      <c r="A92" s="24" t="str">
        <f ca="1">_xlfn.IFERROR(__xludf.DUMMYFUNCTION("SPLIT('файл map'!A142,""=#"")"),"var90")</f>
        <v>var90</v>
      </c>
      <c r="B92" s="24">
        <f ca="1">_xlfn.IFERROR(__xludf.DUMMYFUNCTION("""COMPUTED_VALUE"""),81)</f>
        <v>81</v>
      </c>
      <c r="C92" s="24" t="str">
        <f ca="1">_xlfn.IFERROR(__xludf.DUMMYFUNCTION("""COMPUTED_VALUE"""),"real")</f>
        <v>real</v>
      </c>
      <c r="D92" s="25" t="str">
        <f ca="1">_xlfn.IFERROR(__xludf.DUMMYFUNCTION("""COMPUTED_VALUE"""),"Pump6.RT hh.mm")</f>
        <v>Pump6.RT hh.mm</v>
      </c>
      <c r="E92" s="26" t="str">
        <f ca="1">_xlfn.IFERROR(__xludf.DUMMYFUNCTION("""COMPUTED_VALUE"""),"Насос №6. Наработка в формате ЧЧ.ММ")</f>
        <v>Насос №6. Наработка в формате ЧЧ.ММ</v>
      </c>
    </row>
    <row r="93" spans="1:5" ht="12.75">
      <c r="A93" s="24" t="str">
        <f ca="1">_xlfn.IFERROR(__xludf.DUMMYFUNCTION("SPLIT('файл map'!A143,""=#"")"),"var91")</f>
        <v>var91</v>
      </c>
      <c r="B93" s="24">
        <f ca="1">_xlfn.IFERROR(__xludf.DUMMYFUNCTION("""COMPUTED_VALUE"""),83)</f>
        <v>83</v>
      </c>
      <c r="C93" s="24" t="str">
        <f ca="1">_xlfn.IFERROR(__xludf.DUMMYFUNCTION("""COMPUTED_VALUE"""),"long")</f>
        <v>long</v>
      </c>
      <c r="D93" s="25" t="str">
        <f ca="1">_xlfn.IFERROR(__xludf.DUMMYFUNCTION("""COMPUTED_VALUE"""),"Pump6.NumStarts")</f>
        <v>Pump6.NumStarts</v>
      </c>
      <c r="E93" s="26" t="str">
        <f ca="1">_xlfn.IFERROR(__xludf.DUMMYFUNCTION("""COMPUTED_VALUE"""),"Насос №6. Количество пусков")</f>
        <v>Насос №6. Количество пусков</v>
      </c>
    </row>
    <row r="94" spans="1:5" ht="12.75">
      <c r="A94" s="24" t="str">
        <f ca="1">_xlfn.IFERROR(__xludf.DUMMYFUNCTION("SPLIT('файл map'!A144,""=#"")"),"var92")</f>
        <v>var92</v>
      </c>
      <c r="B94" s="24">
        <f ca="1">_xlfn.IFERROR(__xludf.DUMMYFUNCTION("""COMPUTED_VALUE"""),85)</f>
        <v>85</v>
      </c>
      <c r="C94" s="24" t="str">
        <f ca="1">_xlfn.IFERROR(__xludf.DUMMYFUNCTION("""COMPUTED_VALUE"""),"int")</f>
        <v>int</v>
      </c>
      <c r="D94" s="25" t="str">
        <f ca="1">_xlfn.IFERROR(__xludf.DUMMYFUNCTION("""COMPUTED_VALUE"""),"Pump6.MbState")</f>
        <v>Pump6.MbState</v>
      </c>
      <c r="E94" s="26" t="str">
        <f ca="1">_xlfn.IFERROR(__xludf.DUMMYFUNCTION("""COMPUTED_VALUE"""),"Насос №6. Статус связи с ПЧ (0-отключен, 1-отказ, 2-норма)")</f>
        <v>Насос №6. Статус связи с ПЧ (0-отключен, 1-отказ, 2-норма)</v>
      </c>
    </row>
    <row r="95" spans="1:5" ht="12.75">
      <c r="A95" s="24" t="str">
        <f ca="1">_xlfn.IFERROR(__xludf.DUMMYFUNCTION("SPLIT('файл map'!A145,""=#"")"),"var93")</f>
        <v>var93</v>
      </c>
      <c r="B95" s="24">
        <f ca="1">_xlfn.IFERROR(__xludf.DUMMYFUNCTION("""COMPUTED_VALUE"""),86)</f>
        <v>86</v>
      </c>
      <c r="C95" s="24" t="str">
        <f ca="1">_xlfn.IFERROR(__xludf.DUMMYFUNCTION("""COMPUTED_VALUE"""),"real")</f>
        <v>real</v>
      </c>
      <c r="D95" s="25" t="str">
        <f ca="1">_xlfn.IFERROR(__xludf.DUMMYFUNCTION("""COMPUTED_VALUE"""),"Pump6.TaskFreq")</f>
        <v>Pump6.TaskFreq</v>
      </c>
      <c r="E95" s="26" t="str">
        <f ca="1">_xlfn.IFERROR(__xludf.DUMMYFUNCTION("""COMPUTED_VALUE"""),"Насос №6. Задание частоты, Гц")</f>
        <v>Насос №6. Задание частоты, Гц</v>
      </c>
    </row>
    <row r="96" spans="1:5" ht="12.75">
      <c r="A96" s="24" t="str">
        <f ca="1">_xlfn.IFERROR(__xludf.DUMMYFUNCTION("SPLIT('файл map'!A146,""=#"")"),"var94")</f>
        <v>var94</v>
      </c>
      <c r="B96" s="24">
        <f ca="1">_xlfn.IFERROR(__xludf.DUMMYFUNCTION("""COMPUTED_VALUE"""),88)</f>
        <v>88</v>
      </c>
      <c r="C96" s="24" t="str">
        <f ca="1">_xlfn.IFERROR(__xludf.DUMMYFUNCTION("""COMPUTED_VALUE"""),"real")</f>
        <v>real</v>
      </c>
      <c r="D96" s="25" t="str">
        <f ca="1">_xlfn.IFERROR(__xludf.DUMMYFUNCTION("""COMPUTED_VALUE"""),"Pump6.OutFreq")</f>
        <v>Pump6.OutFreq</v>
      </c>
      <c r="E96" s="26" t="str">
        <f ca="1">_xlfn.IFERROR(__xludf.DUMMYFUNCTION("""COMPUTED_VALUE"""),"Насос №6. Выходная частота, Гц")</f>
        <v>Насос №6. Выходная частота, Гц</v>
      </c>
    </row>
    <row r="97" spans="1:5" ht="12.75">
      <c r="A97" s="24" t="str">
        <f ca="1">_xlfn.IFERROR(__xludf.DUMMYFUNCTION("SPLIT('файл map'!A147,""=#"")"),"var95")</f>
        <v>var95</v>
      </c>
      <c r="B97" s="24" t="str">
        <f ca="1">_xlfn.IFERROR(__xludf.DUMMYFUNCTION("""COMPUTED_VALUE"""),"8a")</f>
        <v>8a</v>
      </c>
      <c r="C97" s="24" t="str">
        <f ca="1">_xlfn.IFERROR(__xludf.DUMMYFUNCTION("""COMPUTED_VALUE"""),"real")</f>
        <v>real</v>
      </c>
      <c r="D97" s="25" t="str">
        <f ca="1">_xlfn.IFERROR(__xludf.DUMMYFUNCTION("""COMPUTED_VALUE"""),"Pump6.Voltage")</f>
        <v>Pump6.Voltage</v>
      </c>
      <c r="E97" s="26" t="str">
        <f ca="1">_xlfn.IFERROR(__xludf.DUMMYFUNCTION("""COMPUTED_VALUE"""),"Насос №6. Напряжение двигателя, В")</f>
        <v>Насос №6. Напряжение двигателя, В</v>
      </c>
    </row>
    <row r="98" spans="1:5" ht="12.75">
      <c r="A98" s="24" t="str">
        <f ca="1">_xlfn.IFERROR(__xludf.DUMMYFUNCTION("SPLIT('файл map'!A148,""=#"")"),"var96")</f>
        <v>var96</v>
      </c>
      <c r="B98" s="24" t="str">
        <f ca="1">_xlfn.IFERROR(__xludf.DUMMYFUNCTION("""COMPUTED_VALUE"""),"8c")</f>
        <v>8c</v>
      </c>
      <c r="C98" s="24" t="str">
        <f ca="1">_xlfn.IFERROR(__xludf.DUMMYFUNCTION("""COMPUTED_VALUE"""),"real")</f>
        <v>real</v>
      </c>
      <c r="D98" s="25" t="str">
        <f ca="1">_xlfn.IFERROR(__xludf.DUMMYFUNCTION("""COMPUTED_VALUE"""),"Pump6.Current")</f>
        <v>Pump6.Current</v>
      </c>
      <c r="E98" s="26" t="str">
        <f ca="1">_xlfn.IFERROR(__xludf.DUMMYFUNCTION("""COMPUTED_VALUE"""),"Насос №6. Ток двигателя, А")</f>
        <v>Насос №6. Ток двигателя, А</v>
      </c>
    </row>
    <row r="99" spans="1:5" ht="12.75">
      <c r="A99" s="24" t="str">
        <f ca="1">_xlfn.IFERROR(__xludf.DUMMYFUNCTION("SPLIT('файл map'!A149,""=#"")"),"var97")</f>
        <v>var97</v>
      </c>
      <c r="B99" s="24" t="str">
        <f ca="1">_xlfn.IFERROR(__xludf.DUMMYFUNCTION("""COMPUTED_VALUE"""),"8e")</f>
        <v>8e</v>
      </c>
      <c r="C99" s="24" t="str">
        <f ca="1">_xlfn.IFERROR(__xludf.DUMMYFUNCTION("""COMPUTED_VALUE"""),"int")</f>
        <v>int</v>
      </c>
      <c r="D99" s="25" t="str">
        <f ca="1">_xlfn.IFERROR(__xludf.DUMMYFUNCTION("""COMPUTED_VALUE"""),"Pump6.LastFaultCode")</f>
        <v>Pump6.LastFaultCode</v>
      </c>
      <c r="E99" s="26" t="str">
        <f ca="1">_xlfn.IFERROR(__xludf.DUMMYFUNCTION("""COMPUTED_VALUE"""),"Насос №6. Сохраненый код отказа ПЧ (см. инструкцию ПЧ)")</f>
        <v>Насос №6. Сохраненый код отказа ПЧ (см. инструкцию ПЧ)</v>
      </c>
    </row>
    <row r="100" spans="1:5" ht="12.75">
      <c r="A100" s="24" t="str">
        <f ca="1">_xlfn.IFERROR(__xludf.DUMMYFUNCTION("SPLIT('файл map'!A150,""=#"")"),"var98")</f>
        <v>var98</v>
      </c>
      <c r="B100" s="24" t="str">
        <f ca="1">_xlfn.IFERROR(__xludf.DUMMYFUNCTION("""COMPUTED_VALUE"""),"8f")</f>
        <v>8f</v>
      </c>
      <c r="C100" s="24" t="str">
        <f ca="1">_xlfn.IFERROR(__xludf.DUMMYFUNCTION("""COMPUTED_VALUE"""),"real")</f>
        <v>real</v>
      </c>
      <c r="D100" s="25" t="str">
        <f ca="1">_xlfn.IFERROR(__xludf.DUMMYFUNCTION("""COMPUTED_VALUE"""),"TE.Value")</f>
        <v>TE.Value</v>
      </c>
      <c r="E100" s="26" t="str">
        <f ca="1">_xlfn.IFERROR(__xludf.DUMMYFUNCTION("""COMPUTED_VALUE"""),"Датчик температуры. Значение, °С")</f>
        <v>Датчик температуры. Значение, °С</v>
      </c>
    </row>
    <row r="101" spans="1:5" ht="38.25">
      <c r="A101" s="24" t="str">
        <f ca="1">_xlfn.IFERROR(__xludf.DUMMYFUNCTION("SPLIT('файл map'!A151,""=#"")"),"var99")</f>
        <v>var99</v>
      </c>
      <c r="B101" s="24">
        <f ca="1">_xlfn.IFERROR(__xludf.DUMMYFUNCTION("""COMPUTED_VALUE"""),91)</f>
        <v>91</v>
      </c>
      <c r="C101" s="24" t="str">
        <f ca="1">_xlfn.IFERROR(__xludf.DUMMYFUNCTION("""COMPUTED_VALUE"""),"int")</f>
        <v>int</v>
      </c>
      <c r="D101" s="25" t="str">
        <f ca="1">_xlfn.IFERROR(__xludf.DUMMYFUNCTION("""COMPUTED_VALUE"""),"TE.State")</f>
        <v>TE.State</v>
      </c>
      <c r="E101" s="26" t="str">
        <f ca="1">_xlfn.IFERROR(__xludf.DUMMYFUNCTION("""COMPUTED_VALUE"""),"Датчик температуры. Cтатус (0-запрещен, 1-тест, 2-авария модуля, 3-отказ,нижний предел, 4-отказ,верхний предел, 5-норма)")</f>
        <v>Датчик температуры. Cтатус (0-запрещен, 1-тест, 2-авария модуля, 3-отказ,нижний предел, 4-отказ,верхний предел, 5-норма)</v>
      </c>
    </row>
    <row r="102" spans="1:5" ht="38.25">
      <c r="A102" s="24" t="str">
        <f ca="1">_xlfn.IFERROR(__xludf.DUMMYFUNCTION("SPLIT('файл map'!A152,""=#"")"),"var100")</f>
        <v>var100</v>
      </c>
      <c r="B102" s="24">
        <f ca="1">_xlfn.IFERROR(__xludf.DUMMYFUNCTION("""COMPUTED_VALUE"""),92)</f>
        <v>92</v>
      </c>
      <c r="C102" s="24" t="str">
        <f ca="1">_xlfn.IFERROR(__xludf.DUMMYFUNCTION("""COMPUTED_VALUE"""),"int")</f>
        <v>int</v>
      </c>
      <c r="D102" s="25" t="str">
        <f ca="1">_xlfn.IFERROR(__xludf.DUMMYFUNCTION("""COMPUTED_VALUE"""),"TE.BitState")</f>
        <v>TE.BitState</v>
      </c>
      <c r="E102" s="26" t="str">
        <f ca="1">_xlfn.IFERROR(__xludf.DUMMYFUNCTION("""COMPUTED_VALUE"""),"Датчик температуры. Побитовый статус (b0-разрешен, b1-тест, b2-отказ(общий), b3-авария модуля, b4-отказ,нижний предел, b5-отказ,верхний предел, b6-готов, b7-не готов)")</f>
        <v>Датчик температуры. Побитовый статус (b0-разрешен, b1-тест, b2-отказ(общий), b3-авария модуля, b4-отказ,нижний предел, b5-отказ,верхний предел, b6-готов, b7-не готов)</v>
      </c>
    </row>
    <row r="103" spans="1:5" ht="153">
      <c r="A103" s="24" t="str">
        <f ca="1">_xlfn.IFERROR(__xludf.DUMMYFUNCTION("SPLIT('файл map'!A153,""=#"")"),"var101")</f>
        <v>var101</v>
      </c>
      <c r="B103" s="24">
        <f ca="1">_xlfn.IFERROR(__xludf.DUMMYFUNCTION("""COMPUTED_VALUE"""),93)</f>
        <v>93</v>
      </c>
      <c r="C103" s="24" t="str">
        <f ca="1">_xlfn.IFERROR(__xludf.DUMMYFUNCTION("""COMPUTED_VALUE"""),"int")</f>
        <v>int</v>
      </c>
      <c r="D103" s="25" t="str">
        <f ca="1">_xlfn.IFERROR(__xludf.DUMMYFUNCTION("""COMPUTED_VALUE"""),"Journal.AlarmWord3")</f>
        <v>Journal.AlarmWord3</v>
      </c>
      <c r="E103" s="26" t="str">
        <f ca="1">_xlfn.IFERROR(__xludf.DUMMYFUNCTION("""COMPUTED_VALUE"""),"Журнал. Слово аварий №3 (b0-Задвижка1.Авария, b1-Задвижка1.Авария времени открытия, b2-Задвижка1.Авария времени закрытия, b3-Задвижка2.Авария, b4-Задвижка2.Авария времени открытия, b5-Задвижка2.Авария времени закрытия, b6-Резервуар1.Авария поплавков, b7-Р"&amp;"езервуар1.Аварийно-низкий уровень, b8-Резервуар1.Аварийно-высокий уровень, b9-Резервуар2.Авария поплавков, b10-Резервуар2.Аварийно-низкий уровень, b11-Резервуар2.Аварийно-высокий уровень, b12-FMR1.Нет связи, b13-Датчик давления на выходе2.Авария, b14-Прот"&amp;"ечка, b15-Аварийно низкая температура в насосной)")</f>
        <v>Журнал. Слово аварий №3 (b0-Задвижка1.Авария, b1-Задвижка1.Авария времени открытия, b2-Задвижка1.Авария времени закрытия, b3-Задвижка2.Авария, b4-Задвижка2.Авария времени открытия, b5-Задвижка2.Авария времени закрытия, b6-Резервуар1.Авария поплавков, b7-Резервуар1.Аварийно-низкий уровень, b8-Резервуар1.Аварийно-высокий уровень, b9-Резервуар2.Авария поплавков, b10-Резервуар2.Аварийно-низкий уровень, b11-Резервуар2.Аварийно-высокий уровень, b12-FMR1.Нет связи, b13-Датчик давления на выходе2.Авария, b14-Протечка, b15-Аварийно низкая температура в насосной)</v>
      </c>
    </row>
    <row r="104" spans="1:5" ht="102">
      <c r="A104" s="24" t="str">
        <f ca="1">_xlfn.IFERROR(__xludf.DUMMYFUNCTION("SPLIT('файл map'!A154,""=#"")"),"var102")</f>
        <v>var102</v>
      </c>
      <c r="B104" s="24">
        <f ca="1">_xlfn.IFERROR(__xludf.DUMMYFUNCTION("""COMPUTED_VALUE"""),94)</f>
        <v>94</v>
      </c>
      <c r="C104" s="24" t="str">
        <f ca="1">_xlfn.IFERROR(__xludf.DUMMYFUNCTION("""COMPUTED_VALUE"""),"int")</f>
        <v>int</v>
      </c>
      <c r="D104" s="25" t="str">
        <f ca="1">_xlfn.IFERROR(__xludf.DUMMYFUNCTION("""COMPUTED_VALUE"""),"Bak1.LS.Bits")</f>
        <v>Bak1.LS.Bits</v>
      </c>
      <c r="E104" s="26" t="str">
        <f ca="1">_xlfn.IFERROR(__xludf.DUMMYFUNCTION("""COMPUTED_VALUE"""),"Резервуар №1. Поплавки. Побитовый статус (b0-Поплавок АНУ. Разрешен, b1-Поплавок АНУ. Замкнут, b2-Поплавок АНУ. Разомкнут, b3-Поплавок НУ. Разрешен, b4-Поплавок НУ. Замкнут, b5-Поплавок НУ. Разомкнут, b6-Поплавок ВУ. Разрешен, b7-Поплавок ВУ. Замкнут, b8-"&amp;"Поплавок ВУ. Разомкнут, b9-Поплавок АВУ. Разрешен, b10-Поплавок АВУ. Замкнут, b11-Поплавок АВУ. Разомкнут, b12-Авария поплавков)")</f>
        <v>Резервуар №1. Поплавки. Побитовый статус (b0-Поплавок АНУ. Разрешен, b1-Поплавок АНУ. Замкнут, b2-Поплавок АНУ. Разомкнут, b3-Поплавок НУ. Разрешен, b4-Поплавок НУ. Замкнут, b5-Поплавок НУ. Разомкнут, b6-Поплавок ВУ. Разрешен, b7-Поплавок ВУ. Замкнут, b8-Поплавок ВУ. Разомкнут, b9-Поплавок АВУ. Разрешен, b10-Поплавок АВУ. Замкнут, b11-Поплавок АВУ. Разомкнут, b12-Авария поплавков)</v>
      </c>
    </row>
    <row r="105" spans="1:5" ht="12.75">
      <c r="A105" s="24" t="str">
        <f ca="1">_xlfn.IFERROR(__xludf.DUMMYFUNCTION("SPLIT('файл map'!A155,""=#"")"),"var103")</f>
        <v>var103</v>
      </c>
      <c r="B105" s="24">
        <f ca="1">_xlfn.IFERROR(__xludf.DUMMYFUNCTION("""COMPUTED_VALUE"""),95)</f>
        <v>95</v>
      </c>
      <c r="C105" s="24" t="str">
        <f ca="1">_xlfn.IFERROR(__xludf.DUMMYFUNCTION("""COMPUTED_VALUE"""),"real")</f>
        <v>real</v>
      </c>
      <c r="D105" s="25" t="str">
        <f ca="1">_xlfn.IFERROR(__xludf.DUMMYFUNCTION("""COMPUTED_VALUE"""),"Bak1.Level")</f>
        <v>Bak1.Level</v>
      </c>
      <c r="E105" s="26" t="str">
        <f ca="1">_xlfn.IFERROR(__xludf.DUMMYFUNCTION("""COMPUTED_VALUE"""),"Резервуар №1. Уровень, метры")</f>
        <v>Резервуар №1. Уровень, метры</v>
      </c>
    </row>
    <row r="106" spans="1:5" ht="102">
      <c r="A106" s="24" t="str">
        <f ca="1">_xlfn.IFERROR(__xludf.DUMMYFUNCTION("SPLIT('файл map'!A156,""=#"")"),"var104")</f>
        <v>var104</v>
      </c>
      <c r="B106" s="24">
        <f ca="1">_xlfn.IFERROR(__xludf.DUMMYFUNCTION("""COMPUTED_VALUE"""),97)</f>
        <v>97</v>
      </c>
      <c r="C106" s="24" t="str">
        <f ca="1">_xlfn.IFERROR(__xludf.DUMMYFUNCTION("""COMPUTED_VALUE"""),"int")</f>
        <v>int</v>
      </c>
      <c r="D106" s="25" t="str">
        <f ca="1">_xlfn.IFERROR(__xludf.DUMMYFUNCTION("""COMPUTED_VALUE"""),"Bak2.LS.Bits")</f>
        <v>Bak2.LS.Bits</v>
      </c>
      <c r="E106" s="26" t="str">
        <f ca="1">_xlfn.IFERROR(__xludf.DUMMYFUNCTION("""COMPUTED_VALUE"""),"Резервуар №2. Поплавки. Побитовый статус (b0-Поплавок АНУ. Разрешен, b1-Поплавок АНУ. Замкнут, b2-Поплавок АНУ. Разомкнут, b3-Поплавок НУ. Разрешен, b4-Поплавок НУ. Замкнут, b5-Поплавок НУ. Разомкнут, b6-Поплавок ВУ. Разрешен, b7-Поплавок ВУ. Замкнут, b8-"&amp;"Поплавок ВУ. Разомкнут, b9-Поплавок АВУ. Разрешен, b10-Поплавок АВУ. Замкнут, b11-Поплавок АВУ. Разомкнут, b12-Авария поплавков)")</f>
        <v>Резервуар №2. Поплавки. Побитовый статус (b0-Поплавок АНУ. Разрешен, b1-Поплавок АНУ. Замкнут, b2-Поплавок АНУ. Разомкнут, b3-Поплавок НУ. Разрешен, b4-Поплавок НУ. Замкнут, b5-Поплавок НУ. Разомкнут, b6-Поплавок ВУ. Разрешен, b7-Поплавок ВУ. Замкнут, b8-Поплавок ВУ. Разомкнут, b9-Поплавок АВУ. Разрешен, b10-Поплавок АВУ. Замкнут, b11-Поплавок АВУ. Разомкнут, b12-Авария поплавков)</v>
      </c>
    </row>
    <row r="107" spans="1:5" ht="12.75">
      <c r="A107" s="24" t="str">
        <f ca="1">_xlfn.IFERROR(__xludf.DUMMYFUNCTION("SPLIT('файл map'!A157,""=#"")"),"var105")</f>
        <v>var105</v>
      </c>
      <c r="B107" s="24">
        <f ca="1">_xlfn.IFERROR(__xludf.DUMMYFUNCTION("""COMPUTED_VALUE"""),98)</f>
        <v>98</v>
      </c>
      <c r="C107" s="24" t="str">
        <f ca="1">_xlfn.IFERROR(__xludf.DUMMYFUNCTION("""COMPUTED_VALUE"""),"real")</f>
        <v>real</v>
      </c>
      <c r="D107" s="25" t="str">
        <f ca="1">_xlfn.IFERROR(__xludf.DUMMYFUNCTION("""COMPUTED_VALUE"""),"Bak2.Level")</f>
        <v>Bak2.Level</v>
      </c>
      <c r="E107" s="26" t="str">
        <f ca="1">_xlfn.IFERROR(__xludf.DUMMYFUNCTION("""COMPUTED_VALUE"""),"Резервуар №2. Уровень, метры")</f>
        <v>Резервуар №2. Уровень, метры</v>
      </c>
    </row>
    <row r="108" spans="1:5" ht="25.5">
      <c r="A108" s="24" t="str">
        <f ca="1">_xlfn.IFERROR(__xludf.DUMMYFUNCTION("SPLIT('файл map'!A158,""=#"")"),"var106")</f>
        <v>var106</v>
      </c>
      <c r="B108" s="24" t="str">
        <f ca="1">_xlfn.IFERROR(__xludf.DUMMYFUNCTION("""COMPUTED_VALUE"""),"9a")</f>
        <v>9a</v>
      </c>
      <c r="C108" s="24" t="str">
        <f ca="1">_xlfn.IFERROR(__xludf.DUMMYFUNCTION("""COMPUTED_VALUE"""),"int")</f>
        <v>int</v>
      </c>
      <c r="D108" s="25" t="str">
        <f ca="1">_xlfn.IFERROR(__xludf.DUMMYFUNCTION("""COMPUTED_VALUE"""),"Valve1.Mode")</f>
        <v>Valve1.Mode</v>
      </c>
      <c r="E108" s="26" t="str">
        <f ca="1">_xlfn.IFERROR(__xludf.DUMMYFUNCTION("""COMPUTED_VALUE"""),"Задвижка №1. Режим управления (0-НОЛЬ, 1-МЕСТ, 2-РУЧН, 3-АВТО)")</f>
        <v>Задвижка №1. Режим управления (0-НОЛЬ, 1-МЕСТ, 2-РУЧН, 3-АВТО)</v>
      </c>
    </row>
    <row r="109" spans="1:5" ht="38.25">
      <c r="A109" s="24" t="str">
        <f ca="1">_xlfn.IFERROR(__xludf.DUMMYFUNCTION("SPLIT('файл map'!A159,""=#"")"),"var107")</f>
        <v>var107</v>
      </c>
      <c r="B109" s="24" t="str">
        <f ca="1">_xlfn.IFERROR(__xludf.DUMMYFUNCTION("""COMPUTED_VALUE"""),"9b")</f>
        <v>9b</v>
      </c>
      <c r="C109" s="24" t="str">
        <f ca="1">_xlfn.IFERROR(__xludf.DUMMYFUNCTION("""COMPUTED_VALUE"""),"int")</f>
        <v>int</v>
      </c>
      <c r="D109" s="25" t="str">
        <f ca="1">_xlfn.IFERROR(__xludf.DUMMYFUNCTION("""COMPUTED_VALUE"""),"Valve1.Pos.State")</f>
        <v>Valve1.Pos.State</v>
      </c>
      <c r="E109" s="26" t="str">
        <f ca="1">_xlfn.IFERROR(__xludf.DUMMYFUNCTION("""COMPUTED_VALUE"""),"Задвижка №1. Статус положения (0-не существует, 1-активны обе команды, 2-открывается, 3-закрывается, 4-открыта+закрыта, 5-открыта, 6-закрыта, 7-среднее)")</f>
        <v>Задвижка №1. Статус положения (0-не существует, 1-активны обе команды, 2-открывается, 3-закрывается, 4-открыта+закрыта, 5-открыта, 6-закрыта, 7-среднее)</v>
      </c>
    </row>
    <row r="110" spans="1:5" ht="25.5">
      <c r="A110" s="24" t="str">
        <f ca="1">_xlfn.IFERROR(__xludf.DUMMYFUNCTION("SPLIT('файл map'!A160,""=#"")"),"var108")</f>
        <v>var108</v>
      </c>
      <c r="B110" s="24" t="str">
        <f ca="1">_xlfn.IFERROR(__xludf.DUMMYFUNCTION("""COMPUTED_VALUE"""),"9c")</f>
        <v>9c</v>
      </c>
      <c r="C110" s="24" t="str">
        <f ca="1">_xlfn.IFERROR(__xludf.DUMMYFUNCTION("""COMPUTED_VALUE"""),"int")</f>
        <v>int</v>
      </c>
      <c r="D110" s="25" t="str">
        <f ca="1">_xlfn.IFERROR(__xludf.DUMMYFUNCTION("""COMPUTED_VALUE"""),"Valve1.Alarm.State")</f>
        <v>Valve1.Alarm.State</v>
      </c>
      <c r="E110" s="26" t="str">
        <f ca="1">_xlfn.IFERROR(__xludf.DUMMYFUNCTION("""COMPUTED_VALUE"""),"Задвижка №1. Статус аварий (0-нет аварий, 2-авария, 7-превышено время открытия, 8-превышено время закрытия )")</f>
        <v>Задвижка №1. Статус аварий (0-нет аварий, 2-авария, 7-превышено время открытия, 8-превышено время закрытия )</v>
      </c>
    </row>
    <row r="111" spans="1:5" ht="25.5">
      <c r="A111" s="24" t="str">
        <f ca="1">_xlfn.IFERROR(__xludf.DUMMYFUNCTION("SPLIT('файл map'!A161,""=#"")"),"var109")</f>
        <v>var109</v>
      </c>
      <c r="B111" s="24" t="str">
        <f ca="1">_xlfn.IFERROR(__xludf.DUMMYFUNCTION("""COMPUTED_VALUE"""),"9d")</f>
        <v>9d</v>
      </c>
      <c r="C111" s="24" t="str">
        <f ca="1">_xlfn.IFERROR(__xludf.DUMMYFUNCTION("""COMPUTED_VALUE"""),"int")</f>
        <v>int</v>
      </c>
      <c r="D111" s="25" t="str">
        <f ca="1">_xlfn.IFERROR(__xludf.DUMMYFUNCTION("""COMPUTED_VALUE"""),"Valve2.Mode")</f>
        <v>Valve2.Mode</v>
      </c>
      <c r="E111" s="26" t="str">
        <f ca="1">_xlfn.IFERROR(__xludf.DUMMYFUNCTION("""COMPUTED_VALUE"""),"Задвижка №2. Режим управления (0-НОЛЬ, 1-МЕСТ, 2-РУЧН, 3-АВТО)")</f>
        <v>Задвижка №2. Режим управления (0-НОЛЬ, 1-МЕСТ, 2-РУЧН, 3-АВТО)</v>
      </c>
    </row>
    <row r="112" spans="1:5" ht="38.25">
      <c r="A112" s="24" t="str">
        <f ca="1">_xlfn.IFERROR(__xludf.DUMMYFUNCTION("SPLIT('файл map'!A162,""=#"")"),"var110")</f>
        <v>var110</v>
      </c>
      <c r="B112" s="24" t="str">
        <f ca="1">_xlfn.IFERROR(__xludf.DUMMYFUNCTION("""COMPUTED_VALUE"""),"9e")</f>
        <v>9e</v>
      </c>
      <c r="C112" s="24" t="str">
        <f ca="1">_xlfn.IFERROR(__xludf.DUMMYFUNCTION("""COMPUTED_VALUE"""),"int")</f>
        <v>int</v>
      </c>
      <c r="D112" s="25" t="str">
        <f ca="1">_xlfn.IFERROR(__xludf.DUMMYFUNCTION("""COMPUTED_VALUE"""),"Valve2.Pos.State")</f>
        <v>Valve2.Pos.State</v>
      </c>
      <c r="E112" s="26" t="str">
        <f ca="1">_xlfn.IFERROR(__xludf.DUMMYFUNCTION("""COMPUTED_VALUE"""),"Задвижка №2. Статус положения (0-не существует, 1-активны обе команды, 2-открывается, 3-закрывается, 4-открыта+закрыта, 5-открыта, 6-закрыта, 7-среднее)")</f>
        <v>Задвижка №2. Статус положения (0-не существует, 1-активны обе команды, 2-открывается, 3-закрывается, 4-открыта+закрыта, 5-открыта, 6-закрыта, 7-среднее)</v>
      </c>
    </row>
    <row r="113" spans="1:5" ht="25.5">
      <c r="A113" s="24" t="str">
        <f ca="1">_xlfn.IFERROR(__xludf.DUMMYFUNCTION("SPLIT('файл map'!A163,""=#"")"),"var111")</f>
        <v>var111</v>
      </c>
      <c r="B113" s="24" t="str">
        <f ca="1">_xlfn.IFERROR(__xludf.DUMMYFUNCTION("""COMPUTED_VALUE"""),"9f")</f>
        <v>9f</v>
      </c>
      <c r="C113" s="24" t="str">
        <f ca="1">_xlfn.IFERROR(__xludf.DUMMYFUNCTION("""COMPUTED_VALUE"""),"int")</f>
        <v>int</v>
      </c>
      <c r="D113" s="25" t="str">
        <f ca="1">_xlfn.IFERROR(__xludf.DUMMYFUNCTION("""COMPUTED_VALUE"""),"Valve2.Alarm.State")</f>
        <v>Valve2.Alarm.State</v>
      </c>
      <c r="E113" s="26" t="str">
        <f ca="1">_xlfn.IFERROR(__xludf.DUMMYFUNCTION("""COMPUTED_VALUE"""),"Задвижка №2. Статус аварий (0-нет аварий, 2-авария, 7-превышено время открытия, 8-превышено время закрытия )")</f>
        <v>Задвижка №2. Статус аварий (0-нет аварий, 2-авария, 7-превышено время открытия, 8-превышено время закрытия )</v>
      </c>
    </row>
    <row r="114" spans="1:5" ht="12.75">
      <c r="A114" s="24" t="str">
        <f ca="1">_xlfn.IFERROR(__xludf.DUMMYFUNCTION("SPLIT('файл map'!A164,""=#"")"),"var112")</f>
        <v>var112</v>
      </c>
      <c r="B114" s="24" t="str">
        <f ca="1">_xlfn.IFERROR(__xludf.DUMMYFUNCTION("""COMPUTED_VALUE"""),"a0")</f>
        <v>a0</v>
      </c>
      <c r="C114" s="24" t="str">
        <f ca="1">_xlfn.IFERROR(__xludf.DUMMYFUNCTION("""COMPUTED_VALUE"""),"real")</f>
        <v>real</v>
      </c>
      <c r="D114" s="25" t="str">
        <f ca="1">_xlfn.IFERROR(__xludf.DUMMYFUNCTION("""COMPUTED_VALUE"""),"PE_in2.Value")</f>
        <v>PE_in2.Value</v>
      </c>
      <c r="E114" s="26" t="str">
        <f ca="1">_xlfn.IFERROR(__xludf.DUMMYFUNCTION("""COMPUTED_VALUE"""),"Датчик давления на входе №2. Значение, бар")</f>
        <v>Датчик давления на входе №2. Значение, бар</v>
      </c>
    </row>
    <row r="115" spans="1:5" ht="38.25">
      <c r="A115" s="24" t="str">
        <f ca="1">_xlfn.IFERROR(__xludf.DUMMYFUNCTION("SPLIT('файл map'!A165,""=#"")"),"var113")</f>
        <v>var113</v>
      </c>
      <c r="B115" s="24" t="str">
        <f ca="1">_xlfn.IFERROR(__xludf.DUMMYFUNCTION("""COMPUTED_VALUE"""),"a2")</f>
        <v>a2</v>
      </c>
      <c r="C115" s="24" t="str">
        <f ca="1">_xlfn.IFERROR(__xludf.DUMMYFUNCTION("""COMPUTED_VALUE"""),"int")</f>
        <v>int</v>
      </c>
      <c r="D115" s="25" t="str">
        <f ca="1">_xlfn.IFERROR(__xludf.DUMMYFUNCTION("""COMPUTED_VALUE"""),"PE_in2.State")</f>
        <v>PE_in2.State</v>
      </c>
      <c r="E115" s="26" t="str">
        <f ca="1">_xlfn.IFERROR(__xludf.DUMMYFUNCTION("""COMPUTED_VALUE"""),"Датчик давления на входе №2. Cтатус (0-запрещен, 1-тест, 2-авария модуля, 3-отказ,нижний предел, 4-отказ,верхний предел, 5-норма)")</f>
        <v>Датчик давления на входе №2. Cтатус (0-запрещен, 1-тест, 2-авария модуля, 3-отказ,нижний предел, 4-отказ,верхний предел, 5-норма)</v>
      </c>
    </row>
    <row r="116" spans="1:5" ht="51">
      <c r="A116" s="24" t="str">
        <f ca="1">_xlfn.IFERROR(__xludf.DUMMYFUNCTION("SPLIT('файл map'!A166,""=#"")"),"var114")</f>
        <v>var114</v>
      </c>
      <c r="B116" s="24" t="str">
        <f ca="1">_xlfn.IFERROR(__xludf.DUMMYFUNCTION("""COMPUTED_VALUE"""),"a3")</f>
        <v>a3</v>
      </c>
      <c r="C116" s="24" t="str">
        <f ca="1">_xlfn.IFERROR(__xludf.DUMMYFUNCTION("""COMPUTED_VALUE"""),"int")</f>
        <v>int</v>
      </c>
      <c r="D116" s="25" t="str">
        <f ca="1">_xlfn.IFERROR(__xludf.DUMMYFUNCTION("""COMPUTED_VALUE"""),"PE_in2.BitState")</f>
        <v>PE_in2.BitState</v>
      </c>
      <c r="E116" s="26" t="str">
        <f ca="1">_xlfn.IFERROR(__xludf.DUMMYFUNCTION("""COMPUTED_VALUE"""),"Датчик давления на входе №2. Побитовый статус (b0-разрешен, b1-тест, b2-отказ(общий), b3-авария модуля, b4-отказ,нижний предел, b5-отказ,верхний предел, b6-готов, b7-не готов)")</f>
        <v>Датчик давления на входе №2. Побитовый статус (b0-разрешен, b1-тест, b2-отказ(общий), b3-авария модуля, b4-отказ,нижний предел, b5-отказ,верхний предел, b6-готов, b7-не готов)</v>
      </c>
    </row>
    <row r="117" spans="1:5" ht="51">
      <c r="A117" s="24" t="str">
        <f ca="1">_xlfn.IFERROR(__xludf.DUMMYFUNCTION("SPLIT('файл map'!A167,""=#"")"),"var115")</f>
        <v>var115</v>
      </c>
      <c r="B117" s="24" t="str">
        <f ca="1">_xlfn.IFERROR(__xludf.DUMMYFUNCTION("""COMPUTED_VALUE"""),"a4")</f>
        <v>a4</v>
      </c>
      <c r="C117" s="24" t="str">
        <f ca="1">_xlfn.IFERROR(__xludf.DUMMYFUNCTION("""COMPUTED_VALUE"""),"int")</f>
        <v>int</v>
      </c>
      <c r="D117" s="25" t="str">
        <f ca="1">_xlfn.IFERROR(__xludf.DUMMYFUNCTION("""COMPUTED_VALUE"""),"Journal.AlarmWord4")</f>
        <v>Journal.AlarmWord4</v>
      </c>
      <c r="E117" s="26" t="str">
        <f ca="1">_xlfn.IFERROR(__xludf.DUMMYFUNCTION("""COMPUTED_VALUE"""),"Журнал. Слово аварий №4 (b0-Датчик давления на входе №2.Авария, b1-Общий ПЧ.Нет связи, b2-Общий ПЧ.Авария, b3-FMR2.Нет связи, b4-FMR3.Нет связи, b5-ПОЖАР, b6-, b7-, b8-, b9-, b10-, b11-, b12-, b13-, b14-, b15-)")</f>
        <v>Журнал. Слово аварий №4 (b0-Датчик давления на входе №2.Авария, b1-Общий ПЧ.Нет связи, b2-Общий ПЧ.Авария, b3-FMR2.Нет связи, b4-FMR3.Нет связи, b5-ПОЖАР, b6-, b7-, b8-, b9-, b10-, b11-, b12-, b13-, b14-, b15-)</v>
      </c>
    </row>
    <row r="118" spans="1:5" ht="12.75">
      <c r="A118" s="24" t="str">
        <f ca="1">_xlfn.IFERROR(__xludf.DUMMYFUNCTION("SPLIT('файл map'!A168,""=#"")"),"var116")</f>
        <v>var116</v>
      </c>
      <c r="B118" s="24" t="str">
        <f ca="1">_xlfn.IFERROR(__xludf.DUMMYFUNCTION("""COMPUTED_VALUE"""),"a5")</f>
        <v>a5</v>
      </c>
      <c r="C118" s="24" t="str">
        <f ca="1">_xlfn.IFERROR(__xludf.DUMMYFUNCTION("""COMPUTED_VALUE"""),"int")</f>
        <v>int</v>
      </c>
      <c r="D118" s="25" t="str">
        <f ca="1">_xlfn.IFERROR(__xludf.DUMMYFUNCTION("""COMPUTED_VALUE"""),"CmnAlarm Int")</f>
        <v>CmnAlarm Int</v>
      </c>
      <c r="E118" s="26" t="str">
        <f ca="1">_xlfn.IFERROR(__xludf.DUMMYFUNCTION("""COMPUTED_VALUE"""),"Общая авария")</f>
        <v>Общая авария</v>
      </c>
    </row>
    <row r="119" spans="1:5" ht="12.75">
      <c r="A119" s="24" t="str">
        <f ca="1">_xlfn.IFERROR(__xludf.DUMMYFUNCTION("SPLIT('файл map'!A169,""=#"")"),"[Request3]")</f>
        <v>[Request3]</v>
      </c>
      <c r="B119" s="24"/>
      <c r="C119" s="24"/>
      <c r="D119" s="25"/>
      <c r="E119" s="26"/>
    </row>
    <row r="120" spans="1:5" ht="12.75">
      <c r="A120" s="24" t="str">
        <f ca="1">_xlfn.IFERROR(__xludf.DUMMYFUNCTION("SPLIT('файл map'!A170,""=#"")"),"Direction")</f>
        <v>Direction</v>
      </c>
      <c r="B120" s="24" t="str">
        <f ca="1">_xlfn.IFERROR(__xludf.DUMMYFUNCTION("""COMPUTED_VALUE"""),"read/write")</f>
        <v>read/write</v>
      </c>
      <c r="C120" s="24"/>
      <c r="D120" s="25"/>
      <c r="E120" s="26"/>
    </row>
    <row r="121" spans="1:5" ht="12.75">
      <c r="A121" s="24" t="str">
        <f ca="1">_xlfn.IFERROR(__xludf.DUMMYFUNCTION("SPLIT('файл map'!A171,""=#"")"),"Type")</f>
        <v>Type</v>
      </c>
      <c r="B121" s="24" t="str">
        <f ca="1">_xlfn.IFERROR(__xludf.DUMMYFUNCTION("""COMPUTED_VALUE"""),"reg")</f>
        <v>reg</v>
      </c>
      <c r="C121" s="24"/>
      <c r="D121" s="25"/>
      <c r="E121" s="26"/>
    </row>
    <row r="122" spans="1:5" ht="12.75">
      <c r="A122" s="24" t="str">
        <f ca="1">_xlfn.IFERROR(__xludf.DUMMYFUNCTION("SPLIT('файл map'!A172,""=#"")"),"Baudrate")</f>
        <v>Baudrate</v>
      </c>
      <c r="B122" s="24">
        <f ca="1">_xlfn.IFERROR(__xludf.DUMMYFUNCTION("""COMPUTED_VALUE"""),115200)</f>
        <v>115200</v>
      </c>
      <c r="C122" s="24"/>
      <c r="D122" s="25"/>
      <c r="E122" s="26"/>
    </row>
    <row r="123" spans="1:5" ht="12.75">
      <c r="A123" s="24" t="str">
        <f ca="1">_xlfn.IFERROR(__xludf.DUMMYFUNCTION("SPLIT('файл map'!A173,""=#"")"),"Address")</f>
        <v>Address</v>
      </c>
      <c r="B123" s="24">
        <f ca="1">_xlfn.IFERROR(__xludf.DUMMYFUNCTION("""COMPUTED_VALUE"""),1)</f>
        <v>1</v>
      </c>
      <c r="C123" s="24"/>
      <c r="D123" s="25"/>
      <c r="E123" s="26"/>
    </row>
    <row r="124" spans="1:5" ht="12.75">
      <c r="A124" s="24" t="str">
        <f ca="1">_xlfn.IFERROR(__xludf.DUMMYFUNCTION("SPLIT('файл map'!A174,""=#"")"),"Period")</f>
        <v>Period</v>
      </c>
      <c r="B124" s="24">
        <f ca="1">_xlfn.IFERROR(__xludf.DUMMYFUNCTION("""COMPUTED_VALUE"""),100)</f>
        <v>100</v>
      </c>
      <c r="C124" s="24"/>
      <c r="D124" s="25"/>
      <c r="E124" s="26"/>
    </row>
    <row r="125" spans="1:5" ht="38.25">
      <c r="A125" s="24" t="str">
        <f ca="1">_xlfn.IFERROR(__xludf.DUMMYFUNCTION("SPLIT('файл map'!A175,""=#"")"),"var0")</f>
        <v>var0</v>
      </c>
      <c r="B125" s="24">
        <f ca="1">_xlfn.IFERROR(__xludf.DUMMYFUNCTION("""COMPUTED_VALUE"""),1)</f>
        <v>1</v>
      </c>
      <c r="C125" s="24" t="str">
        <f ca="1">_xlfn.IFERROR(__xludf.DUMMYFUNCTION("""COMPUTED_VALUE"""),"int")</f>
        <v>int</v>
      </c>
      <c r="D125" s="25" t="str">
        <f ca="1">_xlfn.IFERROR(__xludf.DUMMYFUNCTION("""COMPUTED_VALUE"""),"SysCmdWord")</f>
        <v>SysCmdWord</v>
      </c>
      <c r="E125" s="26" t="str">
        <f ca="1">_xlfn.IFERROR(__xludf.DUMMYFUNCTION("""COMPUTED_VALUE"""),"Слово управления станцией (b0-активировать режим АВТО, b1-активировать режим РУЧН, b2-сброс аварий, b3-сброс связи SMConnect)")</f>
        <v>Слово управления станцией (b0-активировать режим АВТО, b1-активировать режим РУЧН, b2-сброс аварий, b3-сброс связи SMConnect)</v>
      </c>
    </row>
    <row r="126" spans="1:5" ht="63.75">
      <c r="A126" s="24" t="str">
        <f ca="1">_xlfn.IFERROR(__xludf.DUMMYFUNCTION("SPLIT('файл map'!A176,""=#"")"),"var1")</f>
        <v>var1</v>
      </c>
      <c r="B126" s="24">
        <f ca="1">_xlfn.IFERROR(__xludf.DUMMYFUNCTION("""COMPUTED_VALUE"""),2)</f>
        <v>2</v>
      </c>
      <c r="C126" s="24" t="str">
        <f ca="1">_xlfn.IFERROR(__xludf.DUMMYFUNCTION("""COMPUTED_VALUE"""),"int")</f>
        <v>int</v>
      </c>
      <c r="D126" s="25" t="str">
        <f ca="1">_xlfn.IFERROR(__xludf.DUMMYFUNCTION("""COMPUTED_VALUE"""),"Pump1.MbCmdWord")</f>
        <v>Pump1.MbCmdWord</v>
      </c>
      <c r="E126" s="26" t="str">
        <f ca="1">_xlfn.IFERROR(__xludf.DUMMYFUNCTION("""COMPUTED_VALUE"""),"Насос №1.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РУЧН)")</f>
        <v>Насос №1.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7" spans="1:5" ht="63.75">
      <c r="A127" s="24" t="str">
        <f ca="1">_xlfn.IFERROR(__xludf.DUMMYFUNCTION("SPLIT('файл map'!A177,""=#"")"),"var2")</f>
        <v>var2</v>
      </c>
      <c r="B127" s="24">
        <f ca="1">_xlfn.IFERROR(__xludf.DUMMYFUNCTION("""COMPUTED_VALUE"""),3)</f>
        <v>3</v>
      </c>
      <c r="C127" s="24" t="str">
        <f ca="1">_xlfn.IFERROR(__xludf.DUMMYFUNCTION("""COMPUTED_VALUE"""),"int")</f>
        <v>int</v>
      </c>
      <c r="D127" s="25" t="str">
        <f ca="1">_xlfn.IFERROR(__xludf.DUMMYFUNCTION("""COMPUTED_VALUE"""),"Pump2.MbCmdWord")</f>
        <v>Pump2.MbCmdWord</v>
      </c>
      <c r="E127" s="26" t="str">
        <f ca="1">_xlfn.IFERROR(__xludf.DUMMYFUNCTION("""COMPUTED_VALUE"""),"Насос №2.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РУЧН)")</f>
        <v>Насос №2.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8" spans="1:5" ht="63.75">
      <c r="A128" s="24" t="str">
        <f ca="1">_xlfn.IFERROR(__xludf.DUMMYFUNCTION("SPLIT('файл map'!A178,""=#"")"),"var3")</f>
        <v>var3</v>
      </c>
      <c r="B128" s="24">
        <f ca="1">_xlfn.IFERROR(__xludf.DUMMYFUNCTION("""COMPUTED_VALUE"""),4)</f>
        <v>4</v>
      </c>
      <c r="C128" s="24" t="str">
        <f ca="1">_xlfn.IFERROR(__xludf.DUMMYFUNCTION("""COMPUTED_VALUE"""),"int")</f>
        <v>int</v>
      </c>
      <c r="D128" s="25" t="str">
        <f ca="1">_xlfn.IFERROR(__xludf.DUMMYFUNCTION("""COMPUTED_VALUE"""),"Pump3.MbCmdWord")</f>
        <v>Pump3.MbCmdWord</v>
      </c>
      <c r="E128" s="26" t="str">
        <f ca="1">_xlfn.IFERROR(__xludf.DUMMYFUNCTION("""COMPUTED_VALUE"""),"Насос №3.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РУЧН)")</f>
        <v>Насос №3.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29" spans="1:5" ht="63.75">
      <c r="A129" s="24" t="str">
        <f ca="1">_xlfn.IFERROR(__xludf.DUMMYFUNCTION("SPLIT('файл map'!A179,""=#"")"),"var4")</f>
        <v>var4</v>
      </c>
      <c r="B129" s="24">
        <f ca="1">_xlfn.IFERROR(__xludf.DUMMYFUNCTION("""COMPUTED_VALUE"""),5)</f>
        <v>5</v>
      </c>
      <c r="C129" s="24" t="str">
        <f ca="1">_xlfn.IFERROR(__xludf.DUMMYFUNCTION("""COMPUTED_VALUE"""),"int")</f>
        <v>int</v>
      </c>
      <c r="D129" s="25" t="str">
        <f ca="1">_xlfn.IFERROR(__xludf.DUMMYFUNCTION("""COMPUTED_VALUE"""),"Pump4.MbCmdWord")</f>
        <v>Pump4.MbCmdWord</v>
      </c>
      <c r="E129" s="26" t="str">
        <f ca="1">_xlfn.IFERROR(__xludf.DUMMYFUNCTION("""COMPUTED_VALUE"""),"Насос №4.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РУЧН)")</f>
        <v>Насос №4.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30" spans="1:5" ht="63.75">
      <c r="A130" s="24" t="str">
        <f ca="1">_xlfn.IFERROR(__xludf.DUMMYFUNCTION("SPLIT('файл map'!A180,""=#"")"),"var5")</f>
        <v>var5</v>
      </c>
      <c r="B130" s="24">
        <f ca="1">_xlfn.IFERROR(__xludf.DUMMYFUNCTION("""COMPUTED_VALUE"""),6)</f>
        <v>6</v>
      </c>
      <c r="C130" s="24" t="str">
        <f ca="1">_xlfn.IFERROR(__xludf.DUMMYFUNCTION("""COMPUTED_VALUE"""),"int")</f>
        <v>int</v>
      </c>
      <c r="D130" s="25" t="str">
        <f ca="1">_xlfn.IFERROR(__xludf.DUMMYFUNCTION("""COMPUTED_VALUE"""),"Pump5.MbCmdWord")</f>
        <v>Pump5.MbCmdWord</v>
      </c>
      <c r="E130" s="26" t="str">
        <f ca="1">_xlfn.IFERROR(__xludf.DUMMYFUNCTION("""COMPUTED_VALUE"""),"Насос №5.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РУЧН)")</f>
        <v>Насос №5.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31" spans="1:5" ht="63.75">
      <c r="A131" s="24" t="str">
        <f ca="1">_xlfn.IFERROR(__xludf.DUMMYFUNCTION("SPLIT('файл map'!A181,""=#"")"),"var6")</f>
        <v>var6</v>
      </c>
      <c r="B131" s="24">
        <f ca="1">_xlfn.IFERROR(__xludf.DUMMYFUNCTION("""COMPUTED_VALUE"""),7)</f>
        <v>7</v>
      </c>
      <c r="C131" s="24" t="str">
        <f ca="1">_xlfn.IFERROR(__xludf.DUMMYFUNCTION("""COMPUTED_VALUE"""),"int")</f>
        <v>int</v>
      </c>
      <c r="D131" s="25" t="str">
        <f ca="1">_xlfn.IFERROR(__xludf.DUMMYFUNCTION("""COMPUTED_VALUE"""),"Pump6.MbCmdWord")</f>
        <v>Pump6.MbCmdWord</v>
      </c>
      <c r="E131" s="26" t="str">
        <f ca="1">_xlfn.IFERROR(__xludf.DUMMYFUNCTION("""COMPUTED_VALUE"""),"Насос №6.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РУЧН)")</f>
        <v>Насос №6. Слово управления (b0-Команда Пуск в режиме РУЧН, b1-Команда Стоп в режиме РУЧН, b2-переключение режимов РУЧН/АВТО, b3-активировать режим АВТО, b4-активировать режим РУЧН, b5-Увеличение частоты в режиме РУЧН, b6-Уменьшение частоты в режиме РУЧН)</v>
      </c>
    </row>
    <row r="132" spans="1:5" ht="12.75">
      <c r="A132" s="24" t="str">
        <f ca="1">_xlfn.IFERROR(__xludf.DUMMYFUNCTION("SPLIT('файл map'!A182,""=#"")"),"var7")</f>
        <v>var7</v>
      </c>
      <c r="B132" s="24">
        <f ca="1">_xlfn.IFERROR(__xludf.DUMMYFUNCTION("""COMPUTED_VALUE"""),8)</f>
        <v>8</v>
      </c>
      <c r="C132" s="24" t="str">
        <f ca="1">_xlfn.IFERROR(__xludf.DUMMYFUNCTION("""COMPUTED_VALUE"""),"real")</f>
        <v>real</v>
      </c>
      <c r="D132" s="25" t="str">
        <f ca="1">_xlfn.IFERROR(__xludf.DUMMYFUNCTION("""COMPUTED_VALUE"""),"Setpoint (RW)")</f>
        <v>Setpoint (RW)</v>
      </c>
      <c r="E132" s="26" t="str">
        <f ca="1">_xlfn.IFERROR(__xludf.DUMMYFUNCTION("""COMPUTED_VALUE"""),"Уставка (запись)")</f>
        <v>Уставка (запись)</v>
      </c>
    </row>
    <row r="133" spans="1:5" ht="12.75">
      <c r="A133" s="24" t="str">
        <f ca="1">_xlfn.IFERROR(__xludf.DUMMYFUNCTION("SPLIT('файл map'!A183,""=#"")"),"var8")</f>
        <v>var8</v>
      </c>
      <c r="B133" s="24" t="str">
        <f ca="1">_xlfn.IFERROR(__xludf.DUMMYFUNCTION("""COMPUTED_VALUE"""),"a")</f>
        <v>a</v>
      </c>
      <c r="C133" s="24" t="str">
        <f ca="1">_xlfn.IFERROR(__xludf.DUMMYFUNCTION("""COMPUTED_VALUE"""),"real")</f>
        <v>real</v>
      </c>
      <c r="D133" s="25" t="str">
        <f ca="1">_xlfn.IFERROR(__xludf.DUMMYFUNCTION("""COMPUTED_VALUE"""),"Setpoint2 (RW)")</f>
        <v>Setpoint2 (RW)</v>
      </c>
      <c r="E133" s="26" t="str">
        <f ca="1">_xlfn.IFERROR(__xludf.DUMMYFUNCTION("""COMPUTED_VALUE"""),"Уставка №2 (запись)")</f>
        <v>Уставка №2 (запись)</v>
      </c>
    </row>
    <row r="134" spans="1:5" ht="12.75">
      <c r="A134" s="24" t="str">
        <f ca="1">_xlfn.IFERROR(__xludf.DUMMYFUNCTION("SPLIT('файл map'!A184,""=#"")"),"var9")</f>
        <v>var9</v>
      </c>
      <c r="B134" s="24" t="str">
        <f ca="1">_xlfn.IFERROR(__xludf.DUMMYFUNCTION("""COMPUTED_VALUE"""),"c")</f>
        <v>c</v>
      </c>
      <c r="C134" s="24" t="str">
        <f ca="1">_xlfn.IFERROR(__xludf.DUMMYFUNCTION("""COMPUTED_VALUE"""),"real")</f>
        <v>real</v>
      </c>
      <c r="D134" s="25" t="str">
        <f ca="1">_xlfn.IFERROR(__xludf.DUMMYFUNCTION("""COMPUTED_VALUE"""),"Bak1.LE.Value (RW)")</f>
        <v>Bak1.LE.Value (RW)</v>
      </c>
      <c r="E134" s="26" t="str">
        <f ca="1">_xlfn.IFERROR(__xludf.DUMMYFUNCTION("""COMPUTED_VALUE"""),"Резервуар №1. Датчик уровня. Значение, метры (запись)")</f>
        <v>Резервуар №1. Датчик уровня. Значение, метры (запись)</v>
      </c>
    </row>
    <row r="135" spans="1:5" ht="12.75">
      <c r="A135" s="24" t="str">
        <f ca="1">_xlfn.IFERROR(__xludf.DUMMYFUNCTION("SPLIT('файл map'!A185,""=#"")"),"var10")</f>
        <v>var10</v>
      </c>
      <c r="B135" s="24" t="str">
        <f ca="1">_xlfn.IFERROR(__xludf.DUMMYFUNCTION("""COMPUTED_VALUE"""),"e")</f>
        <v>e</v>
      </c>
      <c r="C135" s="24" t="str">
        <f ca="1">_xlfn.IFERROR(__xludf.DUMMYFUNCTION("""COMPUTED_VALUE"""),"real")</f>
        <v>real</v>
      </c>
      <c r="D135" s="25" t="str">
        <f ca="1">_xlfn.IFERROR(__xludf.DUMMYFUNCTION("""COMPUTED_VALUE"""),"Bak2.LE.Value (RW)")</f>
        <v>Bak2.LE.Value (RW)</v>
      </c>
      <c r="E135" s="26" t="str">
        <f ca="1">_xlfn.IFERROR(__xludf.DUMMYFUNCTION("""COMPUTED_VALUE"""),"Резервуар №2. Датчик уровня. Значение, метры (запись)")</f>
        <v>Резервуар №2. Датчик уровня. Значение, метры (запись)</v>
      </c>
    </row>
    <row r="136" spans="1:5" ht="12.75">
      <c r="A136" s="24" t="str">
        <f ca="1">_xlfn.IFERROR(__xludf.DUMMYFUNCTION("SPLIT('файл map'!A186,""=#"")"),"var11")</f>
        <v>var11</v>
      </c>
      <c r="B136" s="24">
        <f ca="1">_xlfn.IFERROR(__xludf.DUMMYFUNCTION("""COMPUTED_VALUE"""),10)</f>
        <v>10</v>
      </c>
      <c r="C136" s="24" t="str">
        <f ca="1">_xlfn.IFERROR(__xludf.DUMMYFUNCTION("""COMPUTED_VALUE"""),"real")</f>
        <v>real</v>
      </c>
      <c r="D136" s="25" t="str">
        <f ca="1">_xlfn.IFERROR(__xludf.DUMMYFUNCTION("""COMPUTED_VALUE"""),"ain0(МС)")</f>
        <v>ain0(МС)</v>
      </c>
      <c r="E136" s="26"/>
    </row>
    <row r="137" spans="1:5" ht="12.75">
      <c r="A137" s="24" t="str">
        <f ca="1">_xlfn.IFERROR(__xludf.DUMMYFUNCTION("SPLIT('файл map'!A187,""=#"")"),"var12")</f>
        <v>var12</v>
      </c>
      <c r="B137" s="24">
        <f ca="1">_xlfn.IFERROR(__xludf.DUMMYFUNCTION("""COMPUTED_VALUE"""),12)</f>
        <v>12</v>
      </c>
      <c r="C137" s="24" t="str">
        <f ca="1">_xlfn.IFERROR(__xludf.DUMMYFUNCTION("""COMPUTED_VALUE"""),"real")</f>
        <v>real</v>
      </c>
      <c r="D137" s="25" t="str">
        <f ca="1">_xlfn.IFERROR(__xludf.DUMMYFUNCTION("""COMPUTED_VALUE"""),"ain1(МС)")</f>
        <v>ain1(МС)</v>
      </c>
      <c r="E137" s="26"/>
    </row>
    <row r="138" spans="1:5" ht="12.75">
      <c r="A138" s="24" t="str">
        <f ca="1">_xlfn.IFERROR(__xludf.DUMMYFUNCTION("SPLIT('файл map'!A188,""=#"")"),"var13")</f>
        <v>var13</v>
      </c>
      <c r="B138" s="24">
        <f ca="1">_xlfn.IFERROR(__xludf.DUMMYFUNCTION("""COMPUTED_VALUE"""),14)</f>
        <v>14</v>
      </c>
      <c r="C138" s="24" t="str">
        <f ca="1">_xlfn.IFERROR(__xludf.DUMMYFUNCTION("""COMPUTED_VALUE"""),"real")</f>
        <v>real</v>
      </c>
      <c r="D138" s="25" t="str">
        <f ca="1">_xlfn.IFERROR(__xludf.DUMMYFUNCTION("""COMPUTED_VALUE"""),"ain2(МС)")</f>
        <v>ain2(МС)</v>
      </c>
      <c r="E138" s="26"/>
    </row>
    <row r="139" spans="1:5" ht="12.75">
      <c r="A139" s="24" t="str">
        <f ca="1">_xlfn.IFERROR(__xludf.DUMMYFUNCTION("SPLIT('файл map'!A189,""=#"")"),"var14")</f>
        <v>var14</v>
      </c>
      <c r="B139" s="24">
        <f ca="1">_xlfn.IFERROR(__xludf.DUMMYFUNCTION("""COMPUTED_VALUE"""),16)</f>
        <v>16</v>
      </c>
      <c r="C139" s="24" t="str">
        <f ca="1">_xlfn.IFERROR(__xludf.DUMMYFUNCTION("""COMPUTED_VALUE"""),"real")</f>
        <v>real</v>
      </c>
      <c r="D139" s="25" t="str">
        <f ca="1">_xlfn.IFERROR(__xludf.DUMMYFUNCTION("""COMPUTED_VALUE"""),"ain3(МС)")</f>
        <v>ain3(МС)</v>
      </c>
      <c r="E139" s="26"/>
    </row>
    <row r="140" spans="1:5" ht="12.75">
      <c r="A140" s="24" t="str">
        <f ca="1">_xlfn.IFERROR(__xludf.DUMMYFUNCTION("SPLIT('файл map'!A190,""=#"")"),"var15")</f>
        <v>var15</v>
      </c>
      <c r="B140" s="24">
        <f ca="1">_xlfn.IFERROR(__xludf.DUMMYFUNCTION("""COMPUTED_VALUE"""),18)</f>
        <v>18</v>
      </c>
      <c r="C140" s="24" t="str">
        <f ca="1">_xlfn.IFERROR(__xludf.DUMMYFUNCTION("""COMPUTED_VALUE"""),"real")</f>
        <v>real</v>
      </c>
      <c r="D140" s="25" t="str">
        <f ca="1">_xlfn.IFERROR(__xludf.DUMMYFUNCTION("""COMPUTED_VALUE"""),"ain4(МС)")</f>
        <v>ain4(МС)</v>
      </c>
      <c r="E140" s="26"/>
    </row>
    <row r="141" spans="1:5" ht="12.75">
      <c r="A141" s="24" t="str">
        <f ca="1">_xlfn.IFERROR(__xludf.DUMMYFUNCTION("SPLIT('файл map'!A191,""=#"")"),"var16")</f>
        <v>var16</v>
      </c>
      <c r="B141" s="24" t="str">
        <f ca="1">_xlfn.IFERROR(__xludf.DUMMYFUNCTION("""COMPUTED_VALUE"""),"1a")</f>
        <v>1a</v>
      </c>
      <c r="C141" s="24" t="str">
        <f ca="1">_xlfn.IFERROR(__xludf.DUMMYFUNCTION("""COMPUTED_VALUE"""),"real")</f>
        <v>real</v>
      </c>
      <c r="D141" s="25" t="str">
        <f ca="1">_xlfn.IFERROR(__xludf.DUMMYFUNCTION("""COMPUTED_VALUE"""),"ain5(МС)")</f>
        <v>ain5(МС)</v>
      </c>
      <c r="E141" s="26"/>
    </row>
    <row r="142" spans="1:5" ht="12.75">
      <c r="A142" s="24" t="str">
        <f ca="1">_xlfn.IFERROR(__xludf.DUMMYFUNCTION("SPLIT('файл map'!A192,""=#"")"),"var17")</f>
        <v>var17</v>
      </c>
      <c r="B142" s="24" t="str">
        <f ca="1">_xlfn.IFERROR(__xludf.DUMMYFUNCTION("""COMPUTED_VALUE"""),"1c")</f>
        <v>1c</v>
      </c>
      <c r="C142" s="24" t="str">
        <f ca="1">_xlfn.IFERROR(__xludf.DUMMYFUNCTION("""COMPUTED_VALUE"""),"real")</f>
        <v>real</v>
      </c>
      <c r="D142" s="25" t="str">
        <f ca="1">_xlfn.IFERROR(__xludf.DUMMYFUNCTION("""COMPUTED_VALUE"""),"ain6(МС)")</f>
        <v>ain6(МС)</v>
      </c>
      <c r="E142" s="26"/>
    </row>
    <row r="143" spans="1:5" ht="12.75">
      <c r="A143" s="24" t="str">
        <f ca="1">_xlfn.IFERROR(__xludf.DUMMYFUNCTION("SPLIT('файл map'!A193,""=#"")"),"var18")</f>
        <v>var18</v>
      </c>
      <c r="B143" s="24" t="str">
        <f ca="1">_xlfn.IFERROR(__xludf.DUMMYFUNCTION("""COMPUTED_VALUE"""),"1e")</f>
        <v>1e</v>
      </c>
      <c r="C143" s="24" t="str">
        <f ca="1">_xlfn.IFERROR(__xludf.DUMMYFUNCTION("""COMPUTED_VALUE"""),"real")</f>
        <v>real</v>
      </c>
      <c r="D143" s="25" t="str">
        <f ca="1">_xlfn.IFERROR(__xludf.DUMMYFUNCTION("""COMPUTED_VALUE"""),"ain7(МС)")</f>
        <v>ain7(МС)</v>
      </c>
      <c r="E143" s="26"/>
    </row>
    <row r="144" spans="1:5" ht="12.75">
      <c r="A144" s="24" t="e">
        <f ca="1">_xlfn.IFERROR(__xludf.DUMMYFUNCTION("SPLIT('файл map'!A194,""=#"")"),"#VALUE!")</f>
        <v>#VALUE!</v>
      </c>
      <c r="B144" s="24"/>
      <c r="C144" s="24"/>
      <c r="D144" s="25"/>
      <c r="E144" s="26"/>
    </row>
    <row r="145" spans="1:5" ht="12.75">
      <c r="A145" s="24" t="e">
        <f ca="1">_xlfn.IFERROR(__xludf.DUMMYFUNCTION("SPLIT('файл map'!A195,""=#"")"),"#VALUE!")</f>
        <v>#VALUE!</v>
      </c>
      <c r="B145" s="24"/>
      <c r="C145" s="24"/>
      <c r="D145" s="25"/>
      <c r="E145" s="26"/>
    </row>
    <row r="146" spans="1:5" ht="12.75">
      <c r="A146" s="24" t="e">
        <f ca="1">_xlfn.IFERROR(__xludf.DUMMYFUNCTION("SPLIT('файл map'!A196,""=#"")"),"#VALUE!")</f>
        <v>#VALUE!</v>
      </c>
      <c r="B146" s="24"/>
      <c r="C146" s="24"/>
      <c r="D146" s="25"/>
      <c r="E146" s="26"/>
    </row>
    <row r="147" spans="1:5" ht="12.75">
      <c r="A147" s="24" t="e">
        <f ca="1">_xlfn.IFERROR(__xludf.DUMMYFUNCTION("SPLIT('файл map'!A197,""=#"")"),"#VALUE!")</f>
        <v>#VALUE!</v>
      </c>
      <c r="B147" s="24"/>
      <c r="C147" s="24"/>
      <c r="D147" s="25"/>
      <c r="E147" s="26"/>
    </row>
    <row r="148" spans="1:5" ht="12.75">
      <c r="A148" s="24" t="e">
        <f ca="1">_xlfn.IFERROR(__xludf.DUMMYFUNCTION("SPLIT('файл map'!A198,""=#"")"),"#VALUE!")</f>
        <v>#VALUE!</v>
      </c>
      <c r="B148" s="24"/>
      <c r="C148" s="24"/>
      <c r="D148" s="25"/>
      <c r="E148" s="26"/>
    </row>
    <row r="149" spans="1:5" ht="12.75">
      <c r="A149" s="24" t="e">
        <f ca="1">_xlfn.IFERROR(__xludf.DUMMYFUNCTION("SPLIT('файл map'!A199,""=#"")"),"#VALUE!")</f>
        <v>#VALUE!</v>
      </c>
      <c r="B149" s="24"/>
      <c r="C149" s="24"/>
      <c r="D149" s="25"/>
      <c r="E149" s="26"/>
    </row>
    <row r="150" spans="1:5" ht="12.75">
      <c r="A150" s="24" t="e">
        <f ca="1">_xlfn.IFERROR(__xludf.DUMMYFUNCTION("SPLIT('файл map'!A200,""=#"")"),"#VALUE!")</f>
        <v>#VALUE!</v>
      </c>
      <c r="B150" s="24"/>
      <c r="C150" s="24"/>
      <c r="D150" s="25"/>
      <c r="E150" s="26"/>
    </row>
    <row r="151" spans="1:5" ht="12.75">
      <c r="A151" s="24" t="e">
        <f ca="1">_xlfn.IFERROR(__xludf.DUMMYFUNCTION("SPLIT('файл map'!A201,""=#"")"),"#VALUE!")</f>
        <v>#VALUE!</v>
      </c>
      <c r="B151" s="24"/>
      <c r="C151" s="24"/>
      <c r="D151" s="25"/>
      <c r="E151" s="26"/>
    </row>
    <row r="152" spans="1:5" ht="12.75">
      <c r="A152" s="24" t="e">
        <f ca="1">_xlfn.IFERROR(__xludf.DUMMYFUNCTION("SPLIT('файл map'!A202,""=#"")"),"#VALUE!")</f>
        <v>#VALUE!</v>
      </c>
      <c r="B152" s="24"/>
      <c r="C152" s="24"/>
      <c r="D152" s="25"/>
      <c r="E152" s="26"/>
    </row>
    <row r="153" spans="1:5" ht="12.75">
      <c r="A153" s="24" t="e">
        <f ca="1">_xlfn.IFERROR(__xludf.DUMMYFUNCTION("SPLIT('файл map'!A203,""=#"")"),"#VALUE!")</f>
        <v>#VALUE!</v>
      </c>
      <c r="B153" s="24"/>
      <c r="C153" s="24"/>
      <c r="D153" s="25"/>
      <c r="E153" s="26"/>
    </row>
    <row r="154" spans="1:5" ht="12.75">
      <c r="A154" s="24" t="e">
        <f ca="1">_xlfn.IFERROR(__xludf.DUMMYFUNCTION("SPLIT('файл map'!A204,""=#"")"),"#VALUE!")</f>
        <v>#VALUE!</v>
      </c>
      <c r="B154" s="24"/>
      <c r="C154" s="24"/>
      <c r="D154" s="25"/>
      <c r="E154" s="26"/>
    </row>
    <row r="155" spans="1:5" ht="12.75">
      <c r="A155" s="24" t="e">
        <f ca="1">_xlfn.IFERROR(__xludf.DUMMYFUNCTION("SPLIT('файл map'!A205,""=#"")"),"#VALUE!")</f>
        <v>#VALUE!</v>
      </c>
      <c r="B155" s="24"/>
      <c r="C155" s="24"/>
      <c r="D155" s="25"/>
      <c r="E155" s="26"/>
    </row>
    <row r="156" spans="1:5" ht="12.75">
      <c r="A156" s="24" t="e">
        <f ca="1">_xlfn.IFERROR(__xludf.DUMMYFUNCTION("SPLIT('файл map'!A206,""=#"")"),"#VALUE!")</f>
        <v>#VALUE!</v>
      </c>
      <c r="B156" s="24"/>
      <c r="C156" s="24"/>
      <c r="D156" s="25"/>
      <c r="E156" s="26"/>
    </row>
    <row r="157" spans="1:5" ht="12.75">
      <c r="A157" s="24" t="e">
        <f ca="1">_xlfn.IFERROR(__xludf.DUMMYFUNCTION("SPLIT('файл map'!A207,""=#"")"),"#VALUE!")</f>
        <v>#VALUE!</v>
      </c>
      <c r="B157" s="24"/>
      <c r="C157" s="24"/>
      <c r="D157" s="25"/>
      <c r="E157" s="26"/>
    </row>
    <row r="158" spans="1:5" ht="12.75">
      <c r="A158" s="24" t="e">
        <f ca="1">_xlfn.IFERROR(__xludf.DUMMYFUNCTION("SPLIT('файл map'!A208,""=#"")"),"#VALUE!")</f>
        <v>#VALUE!</v>
      </c>
      <c r="B158" s="24"/>
      <c r="C158" s="24"/>
      <c r="D158" s="25"/>
      <c r="E158" s="26"/>
    </row>
    <row r="159" spans="1:5" ht="12.75">
      <c r="A159" s="24" t="e">
        <f ca="1">_xlfn.IFERROR(__xludf.DUMMYFUNCTION("SPLIT('файл map'!A209,""=#"")"),"#VALUE!")</f>
        <v>#VALUE!</v>
      </c>
      <c r="B159" s="24"/>
      <c r="C159" s="24"/>
      <c r="D159" s="25"/>
      <c r="E159" s="26"/>
    </row>
    <row r="160" spans="1:5" ht="12.75">
      <c r="A160" s="24" t="e">
        <f ca="1">_xlfn.IFERROR(__xludf.DUMMYFUNCTION("SPLIT('файл map'!A210,""=#"")"),"#VALUE!")</f>
        <v>#VALUE!</v>
      </c>
      <c r="B160" s="24"/>
      <c r="C160" s="24"/>
      <c r="D160" s="25"/>
      <c r="E160" s="26"/>
    </row>
    <row r="161" spans="1:5" ht="12.75">
      <c r="A161" s="24" t="e">
        <f ca="1">_xlfn.IFERROR(__xludf.DUMMYFUNCTION("SPLIT('файл map'!A211,""=#"")"),"#VALUE!")</f>
        <v>#VALUE!</v>
      </c>
      <c r="B161" s="24"/>
      <c r="C161" s="24"/>
      <c r="D161" s="25"/>
      <c r="E161" s="26"/>
    </row>
    <row r="162" spans="1:5" ht="12.75">
      <c r="A162" s="24" t="e">
        <f ca="1">_xlfn.IFERROR(__xludf.DUMMYFUNCTION("SPLIT('файл map'!A212,""=#"")"),"#VALUE!")</f>
        <v>#VALUE!</v>
      </c>
      <c r="B162" s="24"/>
      <c r="C162" s="24"/>
      <c r="D162" s="25"/>
      <c r="E162" s="26"/>
    </row>
    <row r="163" spans="1:5" ht="12.75">
      <c r="A163" s="24" t="e">
        <f ca="1">_xlfn.IFERROR(__xludf.DUMMYFUNCTION("SPLIT('файл map'!A213,""=#"")"),"#VALUE!")</f>
        <v>#VALUE!</v>
      </c>
      <c r="B163" s="24"/>
      <c r="C163" s="24"/>
      <c r="D163" s="25"/>
      <c r="E163" s="26"/>
    </row>
    <row r="164" spans="1:5" ht="12.75">
      <c r="A164" s="24" t="e">
        <f ca="1">_xlfn.IFERROR(__xludf.DUMMYFUNCTION("SPLIT('файл map'!A214,""=#"")"),"#VALUE!")</f>
        <v>#VALUE!</v>
      </c>
      <c r="B164" s="24"/>
      <c r="C164" s="24"/>
      <c r="D164" s="25"/>
      <c r="E164" s="26"/>
    </row>
    <row r="165" spans="1:5" ht="12.75">
      <c r="A165" s="24" t="e">
        <f ca="1">_xlfn.IFERROR(__xludf.DUMMYFUNCTION("SPLIT('файл map'!A215,""=#"")"),"#VALUE!")</f>
        <v>#VALUE!</v>
      </c>
      <c r="B165" s="24"/>
      <c r="C165" s="24"/>
      <c r="D165" s="25"/>
      <c r="E165" s="26"/>
    </row>
    <row r="166" spans="1:5" ht="12.75">
      <c r="A166" s="24" t="e">
        <f ca="1">_xlfn.IFERROR(__xludf.DUMMYFUNCTION("SPLIT('файл map'!A216,""=#"")"),"#VALUE!")</f>
        <v>#VALUE!</v>
      </c>
      <c r="B166" s="24"/>
      <c r="C166" s="24"/>
      <c r="D166" s="25"/>
      <c r="E166" s="26"/>
    </row>
    <row r="167" spans="1:5" ht="12.75">
      <c r="A167" s="24" t="e">
        <f ca="1">_xlfn.IFERROR(__xludf.DUMMYFUNCTION("SPLIT('файл map'!A217,""=#"")"),"#VALUE!")</f>
        <v>#VALUE!</v>
      </c>
      <c r="B167" s="24"/>
      <c r="C167" s="24"/>
      <c r="D167" s="25"/>
      <c r="E167" s="26"/>
    </row>
    <row r="168" spans="1:5" ht="12.75">
      <c r="A168" s="24" t="e">
        <f ca="1">_xlfn.IFERROR(__xludf.DUMMYFUNCTION("SPLIT('файл map'!A218,""=#"")"),"#VALUE!")</f>
        <v>#VALUE!</v>
      </c>
      <c r="B168" s="24"/>
      <c r="C168" s="24"/>
      <c r="D168" s="25"/>
      <c r="E168" s="26"/>
    </row>
    <row r="169" spans="1:5" ht="12.75">
      <c r="A169" s="24" t="e">
        <f ca="1">_xlfn.IFERROR(__xludf.DUMMYFUNCTION("SPLIT('файл map'!A219,""=#"")"),"#VALUE!")</f>
        <v>#VALUE!</v>
      </c>
      <c r="B169" s="24"/>
      <c r="C169" s="24"/>
      <c r="D169" s="25"/>
      <c r="E169" s="26"/>
    </row>
    <row r="170" spans="1:5" ht="12.75">
      <c r="A170" s="24" t="e">
        <f ca="1">_xlfn.IFERROR(__xludf.DUMMYFUNCTION("SPLIT('файл map'!A220,""=#"")"),"#VALUE!")</f>
        <v>#VALUE!</v>
      </c>
      <c r="B170" s="24"/>
      <c r="C170" s="24"/>
      <c r="D170" s="25"/>
      <c r="E170" s="26"/>
    </row>
    <row r="171" spans="1:5" ht="12.75">
      <c r="A171" s="24" t="e">
        <f ca="1">_xlfn.IFERROR(__xludf.DUMMYFUNCTION("SPLIT('файл map'!A221,""=#"")"),"#VALUE!")</f>
        <v>#VALUE!</v>
      </c>
      <c r="B171" s="24"/>
      <c r="C171" s="24"/>
      <c r="D171" s="25"/>
      <c r="E171" s="26"/>
    </row>
    <row r="172" spans="1:5" ht="12.75">
      <c r="A172" s="24" t="e">
        <f ca="1">_xlfn.IFERROR(__xludf.DUMMYFUNCTION("SPLIT('файл map'!A222,""=#"")"),"#VALUE!")</f>
        <v>#VALUE!</v>
      </c>
      <c r="B172" s="24"/>
      <c r="C172" s="24"/>
      <c r="D172" s="25"/>
      <c r="E172" s="26"/>
    </row>
    <row r="173" spans="1:5" ht="12.75">
      <c r="A173" s="24" t="e">
        <f ca="1">_xlfn.IFERROR(__xludf.DUMMYFUNCTION("SPLIT('файл map'!A223,""=#"")"),"#VALUE!")</f>
        <v>#VALUE!</v>
      </c>
      <c r="B173" s="24"/>
      <c r="C173" s="24"/>
      <c r="D173" s="25"/>
      <c r="E173" s="26"/>
    </row>
    <row r="174" spans="1:5" ht="12.75">
      <c r="A174" s="24" t="e">
        <f ca="1">_xlfn.IFERROR(__xludf.DUMMYFUNCTION("SPLIT('файл map'!A224,""=#"")"),"#VALUE!")</f>
        <v>#VALUE!</v>
      </c>
      <c r="B174" s="24"/>
      <c r="C174" s="24"/>
      <c r="D174" s="25"/>
      <c r="E174" s="26"/>
    </row>
    <row r="175" spans="1:5" ht="12.75">
      <c r="A175" s="24" t="e">
        <f ca="1">_xlfn.IFERROR(__xludf.DUMMYFUNCTION("SPLIT('файл map'!A225,""=#"")"),"#VALUE!")</f>
        <v>#VALUE!</v>
      </c>
      <c r="B175" s="24"/>
      <c r="C175" s="24"/>
      <c r="D175" s="25"/>
      <c r="E175" s="26"/>
    </row>
    <row r="176" spans="1:5" ht="12.75">
      <c r="A176" s="24" t="e">
        <f ca="1">_xlfn.IFERROR(__xludf.DUMMYFUNCTION("SPLIT('файл map'!A226,""=#"")"),"#VALUE!")</f>
        <v>#VALUE!</v>
      </c>
      <c r="B176" s="24"/>
      <c r="C176" s="24"/>
      <c r="D176" s="25"/>
      <c r="E176" s="26"/>
    </row>
    <row r="177" spans="1:5" ht="12.75">
      <c r="A177" s="24" t="e">
        <f ca="1">_xlfn.IFERROR(__xludf.DUMMYFUNCTION("SPLIT('файл map'!A227,""=#"")"),"#VALUE!")</f>
        <v>#VALUE!</v>
      </c>
      <c r="B177" s="24"/>
      <c r="C177" s="24"/>
      <c r="D177" s="25"/>
      <c r="E177" s="26"/>
    </row>
    <row r="178" spans="1:5" ht="12.75">
      <c r="A178" s="24" t="e">
        <f ca="1">_xlfn.IFERROR(__xludf.DUMMYFUNCTION("SPLIT('файл map'!A228,""=#"")"),"#VALUE!")</f>
        <v>#VALUE!</v>
      </c>
      <c r="B178" s="24"/>
      <c r="C178" s="24"/>
      <c r="D178" s="25"/>
      <c r="E178" s="26"/>
    </row>
    <row r="179" spans="1:5" ht="12.75">
      <c r="A179" s="24" t="e">
        <f ca="1">_xlfn.IFERROR(__xludf.DUMMYFUNCTION("SPLIT('файл map'!A229,""=#"")"),"#VALUE!")</f>
        <v>#VALUE!</v>
      </c>
      <c r="B179" s="24"/>
      <c r="C179" s="24"/>
      <c r="D179" s="25"/>
      <c r="E179" s="26"/>
    </row>
    <row r="180" spans="1:5" ht="12.75">
      <c r="A180" s="24" t="e">
        <f ca="1">_xlfn.IFERROR(__xludf.DUMMYFUNCTION("SPLIT('файл map'!A230,""=#"")"),"#VALUE!")</f>
        <v>#VALUE!</v>
      </c>
      <c r="B180" s="24"/>
      <c r="C180" s="24"/>
      <c r="D180" s="25"/>
      <c r="E180" s="26"/>
    </row>
    <row r="181" spans="1:5" ht="12.75">
      <c r="A181" s="24" t="e">
        <f ca="1">_xlfn.IFERROR(__xludf.DUMMYFUNCTION("SPLIT('файл map'!A231,""=#"")"),"#VALUE!")</f>
        <v>#VALUE!</v>
      </c>
      <c r="B181" s="24"/>
      <c r="C181" s="24"/>
      <c r="D181" s="25"/>
      <c r="E181" s="26"/>
    </row>
    <row r="182" spans="1:5" ht="12.75">
      <c r="A182" s="24" t="e">
        <f ca="1">_xlfn.IFERROR(__xludf.DUMMYFUNCTION("SPLIT('файл map'!A232,""=#"")"),"#VALUE!")</f>
        <v>#VALUE!</v>
      </c>
      <c r="B182" s="24"/>
      <c r="C182" s="24"/>
      <c r="D182" s="25"/>
      <c r="E182" s="26"/>
    </row>
    <row r="183" spans="1:5" ht="12.75">
      <c r="A183" s="24" t="e">
        <f ca="1">_xlfn.IFERROR(__xludf.DUMMYFUNCTION("SPLIT('файл map'!A233,""=#"")"),"#VALUE!")</f>
        <v>#VALUE!</v>
      </c>
      <c r="B183" s="24"/>
      <c r="C183" s="24"/>
      <c r="D183" s="25"/>
      <c r="E183" s="26"/>
    </row>
    <row r="184" spans="1:5" ht="12.75">
      <c r="A184" s="24" t="e">
        <f ca="1">_xlfn.IFERROR(__xludf.DUMMYFUNCTION("SPLIT('файл map'!A234,""=#"")"),"#VALUE!")</f>
        <v>#VALUE!</v>
      </c>
      <c r="B184" s="24"/>
      <c r="C184" s="24"/>
      <c r="D184" s="25"/>
      <c r="E184" s="26"/>
    </row>
    <row r="185" spans="1:5" ht="12.75">
      <c r="A185" s="24" t="e">
        <f ca="1">_xlfn.IFERROR(__xludf.DUMMYFUNCTION("SPLIT('файл map'!A235,""=#"")"),"#VALUE!")</f>
        <v>#VALUE!</v>
      </c>
      <c r="B185" s="24"/>
      <c r="C185" s="24"/>
      <c r="D185" s="25"/>
      <c r="E185" s="26"/>
    </row>
    <row r="186" spans="1:5" ht="12.75">
      <c r="A186" s="24" t="e">
        <f ca="1">_xlfn.IFERROR(__xludf.DUMMYFUNCTION("SPLIT('файл map'!A236,""=#"")"),"#VALUE!")</f>
        <v>#VALUE!</v>
      </c>
      <c r="B186" s="24"/>
      <c r="C186" s="24"/>
      <c r="D186" s="25"/>
      <c r="E186" s="26"/>
    </row>
    <row r="187" spans="1:5" ht="12.75">
      <c r="A187" s="24" t="e">
        <f ca="1">_xlfn.IFERROR(__xludf.DUMMYFUNCTION("SPLIT('файл map'!A237,""=#"")"),"#VALUE!")</f>
        <v>#VALUE!</v>
      </c>
      <c r="B187" s="24"/>
      <c r="C187" s="24"/>
      <c r="D187" s="25"/>
      <c r="E187" s="26"/>
    </row>
    <row r="188" spans="1:5" ht="12.75">
      <c r="A188" s="24" t="e">
        <f ca="1">_xlfn.IFERROR(__xludf.DUMMYFUNCTION("SPLIT('файл map'!A238,""=#"")"),"#VALUE!")</f>
        <v>#VALUE!</v>
      </c>
      <c r="B188" s="24"/>
      <c r="C188" s="24"/>
      <c r="D188" s="25"/>
      <c r="E188" s="26"/>
    </row>
    <row r="189" spans="1:5" ht="12.75">
      <c r="A189" s="24" t="e">
        <f ca="1">_xlfn.IFERROR(__xludf.DUMMYFUNCTION("SPLIT('файл map'!A239,""=#"")"),"#VALUE!")</f>
        <v>#VALUE!</v>
      </c>
      <c r="B189" s="24"/>
      <c r="C189" s="24"/>
      <c r="D189" s="25"/>
      <c r="E189" s="26"/>
    </row>
    <row r="190" spans="1:5" ht="12.75">
      <c r="A190" s="24" t="e">
        <f ca="1">_xlfn.IFERROR(__xludf.DUMMYFUNCTION("SPLIT('файл map'!A240,""=#"")"),"#VALUE!")</f>
        <v>#VALUE!</v>
      </c>
      <c r="B190" s="24"/>
      <c r="C190" s="24"/>
      <c r="D190" s="25"/>
      <c r="E190" s="26"/>
    </row>
    <row r="191" spans="1:5" ht="12.75">
      <c r="A191" s="24" t="e">
        <f ca="1">_xlfn.IFERROR(__xludf.DUMMYFUNCTION("SPLIT('файл map'!A241,""=#"")"),"#VALUE!")</f>
        <v>#VALUE!</v>
      </c>
      <c r="B191" s="24"/>
      <c r="C191" s="24"/>
      <c r="D191" s="25"/>
      <c r="E191" s="26"/>
    </row>
    <row r="192" spans="1:5" ht="12.75">
      <c r="A192" s="24" t="e">
        <f ca="1">_xlfn.IFERROR(__xludf.DUMMYFUNCTION("SPLIT('файл map'!A242,""=#"")"),"#VALUE!")</f>
        <v>#VALUE!</v>
      </c>
      <c r="B192" s="24"/>
      <c r="C192" s="24"/>
      <c r="D192" s="25"/>
      <c r="E192" s="26"/>
    </row>
    <row r="193" spans="1:5" ht="12.75">
      <c r="A193" s="24" t="e">
        <f ca="1">_xlfn.IFERROR(__xludf.DUMMYFUNCTION("SPLIT('файл map'!A243,""=#"")"),"#VALUE!")</f>
        <v>#VALUE!</v>
      </c>
      <c r="B193" s="24"/>
      <c r="C193" s="24"/>
      <c r="D193" s="25"/>
      <c r="E193" s="26"/>
    </row>
    <row r="194" spans="1:5" ht="12.75">
      <c r="A194" s="24" t="e">
        <f ca="1">_xlfn.IFERROR(__xludf.DUMMYFUNCTION("SPLIT('файл map'!A244,""=#"")"),"#VALUE!")</f>
        <v>#VALUE!</v>
      </c>
      <c r="B194" s="24"/>
      <c r="C194" s="24"/>
      <c r="D194" s="25"/>
      <c r="E194" s="26"/>
    </row>
    <row r="195" spans="1:5" ht="12.75">
      <c r="A195" s="24" t="e">
        <f ca="1">_xlfn.IFERROR(__xludf.DUMMYFUNCTION("SPLIT('файл map'!A245,""=#"")"),"#VALUE!")</f>
        <v>#VALUE!</v>
      </c>
      <c r="B195" s="24"/>
      <c r="C195" s="24"/>
      <c r="D195" s="25"/>
      <c r="E195" s="26"/>
    </row>
    <row r="196" spans="1:5" ht="12.75">
      <c r="A196" s="24" t="e">
        <f ca="1">_xlfn.IFERROR(__xludf.DUMMYFUNCTION("SPLIT('файл map'!A246,""=#"")"),"#VALUE!")</f>
        <v>#VALUE!</v>
      </c>
      <c r="B196" s="24"/>
      <c r="C196" s="24"/>
      <c r="D196" s="25"/>
      <c r="E196" s="26"/>
    </row>
    <row r="197" spans="1:5" ht="12.75">
      <c r="A197" s="24" t="e">
        <f ca="1">_xlfn.IFERROR(__xludf.DUMMYFUNCTION("SPLIT('файл map'!A247,""=#"")"),"#VALUE!")</f>
        <v>#VALUE!</v>
      </c>
      <c r="B197" s="24"/>
      <c r="C197" s="24"/>
      <c r="D197" s="25"/>
      <c r="E197" s="26"/>
    </row>
    <row r="198" spans="1:5" ht="12.75">
      <c r="A198" s="24" t="e">
        <f ca="1">_xlfn.IFERROR(__xludf.DUMMYFUNCTION("SPLIT('файл map'!A248,""=#"")"),"#VALUE!")</f>
        <v>#VALUE!</v>
      </c>
      <c r="B198" s="24"/>
      <c r="C198" s="24"/>
      <c r="D198" s="25"/>
      <c r="E198" s="26"/>
    </row>
    <row r="199" spans="1:5" ht="12.75">
      <c r="A199" s="24" t="e">
        <f ca="1">_xlfn.IFERROR(__xludf.DUMMYFUNCTION("SPLIT('файл map'!A249,""=#"")"),"#VALUE!")</f>
        <v>#VALUE!</v>
      </c>
      <c r="B199" s="24"/>
      <c r="C199" s="24"/>
      <c r="D199" s="25"/>
      <c r="E199" s="26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93"/>
  <sheetViews>
    <sheetView workbookViewId="0" topLeftCell="A1"/>
  </sheetViews>
  <sheetFormatPr defaultColWidth="14.421875" defaultRowHeight="15.75" customHeight="1"/>
  <sheetData>
    <row r="1" spans="1:2" ht="15.75" customHeight="1">
      <c r="A1" s="23" t="s">
        <v>35</v>
      </c>
      <c r="B1" s="23" t="s">
        <v>36</v>
      </c>
    </row>
    <row r="2" spans="1:3" ht="15.75" customHeight="1">
      <c r="A2" s="23" t="s">
        <v>37</v>
      </c>
      <c r="C2" s="23" t="s">
        <v>38</v>
      </c>
    </row>
    <row r="3" spans="1:2" ht="15.75" customHeight="1">
      <c r="A3" s="23" t="s">
        <v>39</v>
      </c>
      <c r="B3" s="23" t="s">
        <v>40</v>
      </c>
    </row>
    <row r="4" spans="1:2" ht="15.75" customHeight="1">
      <c r="A4" s="23" t="s">
        <v>41</v>
      </c>
      <c r="B4" s="23" t="s">
        <v>42</v>
      </c>
    </row>
    <row r="5" spans="1:2" ht="15.75" customHeight="1">
      <c r="A5" s="23" t="s">
        <v>43</v>
      </c>
      <c r="B5" s="23" t="s">
        <v>44</v>
      </c>
    </row>
    <row r="7" ht="15.75" customHeight="1">
      <c r="A7" s="23" t="s">
        <v>45</v>
      </c>
    </row>
    <row r="8" ht="15.75" customHeight="1">
      <c r="A8" s="23" t="s">
        <v>46</v>
      </c>
    </row>
    <row r="9" ht="15.75" customHeight="1">
      <c r="A9" s="23" t="s">
        <v>47</v>
      </c>
    </row>
    <row r="10" ht="15.75" customHeight="1">
      <c r="A10" s="23" t="s">
        <v>48</v>
      </c>
    </row>
    <row r="11" ht="15.75" customHeight="1">
      <c r="A11" s="23" t="s">
        <v>49</v>
      </c>
    </row>
    <row r="12" ht="15.75" customHeight="1">
      <c r="A12" s="23" t="s">
        <v>50</v>
      </c>
    </row>
    <row r="13" ht="15.75" customHeight="1">
      <c r="A13" s="23" t="s">
        <v>51</v>
      </c>
    </row>
    <row r="14" ht="15.75" customHeight="1">
      <c r="A14" s="23" t="s">
        <v>52</v>
      </c>
    </row>
    <row r="15" ht="15.75" customHeight="1">
      <c r="A15" s="23" t="s">
        <v>53</v>
      </c>
    </row>
    <row r="16" ht="15.75" customHeight="1">
      <c r="A16" s="23" t="s">
        <v>54</v>
      </c>
    </row>
    <row r="17" ht="15.75" customHeight="1">
      <c r="A17" s="23" t="s">
        <v>55</v>
      </c>
    </row>
    <row r="18" ht="15.75" customHeight="1">
      <c r="A18" s="23" t="s">
        <v>56</v>
      </c>
    </row>
    <row r="19" ht="15.75" customHeight="1">
      <c r="A19" s="23" t="s">
        <v>57</v>
      </c>
    </row>
    <row r="20" ht="15.75" customHeight="1">
      <c r="A20" s="23" t="s">
        <v>58</v>
      </c>
    </row>
    <row r="21" ht="15.75" customHeight="1">
      <c r="A21" s="23" t="s">
        <v>59</v>
      </c>
    </row>
    <row r="22" ht="15.75" customHeight="1">
      <c r="A22" s="23" t="s">
        <v>60</v>
      </c>
    </row>
    <row r="23" ht="15.75" customHeight="1">
      <c r="A23" s="23" t="s">
        <v>61</v>
      </c>
    </row>
    <row r="24" ht="15.75" customHeight="1">
      <c r="A24" s="23" t="s">
        <v>62</v>
      </c>
    </row>
    <row r="25" ht="15.75" customHeight="1">
      <c r="A25" s="23" t="s">
        <v>63</v>
      </c>
    </row>
    <row r="26" ht="15.75" customHeight="1">
      <c r="A26" s="23" t="s">
        <v>64</v>
      </c>
    </row>
    <row r="27" ht="15.75" customHeight="1">
      <c r="A27" s="23" t="s">
        <v>65</v>
      </c>
    </row>
    <row r="28" ht="15.75" customHeight="1">
      <c r="A28" s="23" t="s">
        <v>66</v>
      </c>
    </row>
    <row r="29" ht="15.75" customHeight="1">
      <c r="A29" s="23" t="s">
        <v>67</v>
      </c>
    </row>
    <row r="30" ht="15.75" customHeight="1">
      <c r="A30" s="23" t="s">
        <v>68</v>
      </c>
    </row>
    <row r="31" ht="15.75" customHeight="1">
      <c r="A31" s="23" t="s">
        <v>69</v>
      </c>
    </row>
    <row r="32" ht="15.75" customHeight="1">
      <c r="A32" s="23" t="s">
        <v>70</v>
      </c>
    </row>
    <row r="33" ht="15.75" customHeight="1">
      <c r="A33" s="23" t="s">
        <v>71</v>
      </c>
    </row>
    <row r="34" ht="15.75" customHeight="1">
      <c r="A34" s="23" t="s">
        <v>72</v>
      </c>
    </row>
    <row r="35" ht="15.75" customHeight="1">
      <c r="A35" s="23" t="s">
        <v>73</v>
      </c>
    </row>
    <row r="36" ht="15.75" customHeight="1">
      <c r="A36" s="23" t="s">
        <v>74</v>
      </c>
    </row>
    <row r="37" ht="15.75" customHeight="1">
      <c r="A37" s="23" t="s">
        <v>75</v>
      </c>
    </row>
    <row r="38" ht="15.75" customHeight="1">
      <c r="A38" s="23" t="s">
        <v>76</v>
      </c>
    </row>
    <row r="39" ht="12.75">
      <c r="A39" s="23" t="s">
        <v>77</v>
      </c>
    </row>
    <row r="40" ht="12.75">
      <c r="A40" s="23" t="s">
        <v>78</v>
      </c>
    </row>
    <row r="41" ht="12.75">
      <c r="A41" s="23" t="s">
        <v>79</v>
      </c>
    </row>
    <row r="42" ht="12.75">
      <c r="A42" s="23" t="s">
        <v>80</v>
      </c>
    </row>
    <row r="43" ht="12.75">
      <c r="A43" s="23" t="s">
        <v>81</v>
      </c>
    </row>
    <row r="44" ht="12.75">
      <c r="A44" s="23" t="s">
        <v>82</v>
      </c>
    </row>
    <row r="45" ht="12.75">
      <c r="A45" s="23" t="s">
        <v>83</v>
      </c>
    </row>
    <row r="46" ht="12.75">
      <c r="A46" s="23" t="s">
        <v>84</v>
      </c>
    </row>
    <row r="47" ht="12.75">
      <c r="A47" s="23" t="s">
        <v>85</v>
      </c>
    </row>
    <row r="48" ht="12.75">
      <c r="A48" s="23" t="s">
        <v>86</v>
      </c>
    </row>
    <row r="49" ht="12.75">
      <c r="A49" s="23" t="s">
        <v>48</v>
      </c>
    </row>
    <row r="50" ht="12.75">
      <c r="A50" s="23" t="s">
        <v>49</v>
      </c>
    </row>
    <row r="51" ht="12.75">
      <c r="A51" s="23" t="s">
        <v>50</v>
      </c>
    </row>
    <row r="52" ht="12.75">
      <c r="A52" s="23" t="s">
        <v>87</v>
      </c>
    </row>
    <row r="53" ht="12.75">
      <c r="A53" s="23" t="s">
        <v>88</v>
      </c>
    </row>
    <row r="54" ht="12.75">
      <c r="A54" s="23" t="s">
        <v>89</v>
      </c>
    </row>
    <row r="55" ht="12.75">
      <c r="A55" s="23" t="s">
        <v>90</v>
      </c>
    </row>
    <row r="56" ht="12.75">
      <c r="A56" s="23" t="s">
        <v>91</v>
      </c>
    </row>
    <row r="57" ht="12.75">
      <c r="A57" s="23" t="s">
        <v>92</v>
      </c>
    </row>
    <row r="58" ht="12.75">
      <c r="A58" s="23" t="s">
        <v>93</v>
      </c>
    </row>
    <row r="59" ht="12.75">
      <c r="A59" s="23" t="s">
        <v>94</v>
      </c>
    </row>
    <row r="60" ht="12.75">
      <c r="A60" s="23" t="s">
        <v>95</v>
      </c>
    </row>
    <row r="61" ht="12.75">
      <c r="A61" s="23" t="s">
        <v>96</v>
      </c>
    </row>
    <row r="62" ht="12.75">
      <c r="A62" s="23" t="s">
        <v>97</v>
      </c>
    </row>
    <row r="63" ht="12.75">
      <c r="A63" s="23" t="s">
        <v>98</v>
      </c>
    </row>
    <row r="64" ht="12.75">
      <c r="A64" s="23" t="s">
        <v>99</v>
      </c>
    </row>
    <row r="65" ht="12.75">
      <c r="A65" s="23" t="s">
        <v>100</v>
      </c>
    </row>
    <row r="66" ht="12.75">
      <c r="A66" s="23" t="s">
        <v>101</v>
      </c>
    </row>
    <row r="67" ht="12.75">
      <c r="A67" s="23" t="s">
        <v>102</v>
      </c>
    </row>
    <row r="68" ht="12.75">
      <c r="A68" s="23" t="s">
        <v>103</v>
      </c>
    </row>
    <row r="69" ht="12.75">
      <c r="A69" s="23" t="s">
        <v>104</v>
      </c>
    </row>
    <row r="70" ht="12.75">
      <c r="A70" s="23" t="s">
        <v>105</v>
      </c>
    </row>
    <row r="71" ht="12.75">
      <c r="A71" s="23" t="s">
        <v>106</v>
      </c>
    </row>
    <row r="72" ht="12.75">
      <c r="A72" s="23" t="s">
        <v>107</v>
      </c>
    </row>
    <row r="73" ht="12.75">
      <c r="A73" s="23" t="s">
        <v>108</v>
      </c>
    </row>
    <row r="74" ht="12.75">
      <c r="A74" s="23" t="s">
        <v>109</v>
      </c>
    </row>
    <row r="75" ht="12.75">
      <c r="A75" s="23" t="s">
        <v>110</v>
      </c>
    </row>
    <row r="76" ht="12.75">
      <c r="A76" s="23" t="s">
        <v>111</v>
      </c>
    </row>
    <row r="77" ht="12.75">
      <c r="A77" s="23" t="s">
        <v>112</v>
      </c>
    </row>
    <row r="78" ht="12.75">
      <c r="A78" s="23" t="s">
        <v>113</v>
      </c>
    </row>
    <row r="79" ht="12.75">
      <c r="A79" s="23" t="s">
        <v>114</v>
      </c>
    </row>
    <row r="80" ht="12.75">
      <c r="A80" s="23" t="s">
        <v>115</v>
      </c>
    </row>
    <row r="81" ht="12.75">
      <c r="A81" s="23" t="s">
        <v>116</v>
      </c>
    </row>
    <row r="82" ht="12.75">
      <c r="A82" s="23" t="s">
        <v>117</v>
      </c>
    </row>
    <row r="83" ht="12.75">
      <c r="A83" s="23" t="s">
        <v>118</v>
      </c>
    </row>
    <row r="84" ht="12.75">
      <c r="A84" s="23" t="s">
        <v>119</v>
      </c>
    </row>
    <row r="85" ht="12.75">
      <c r="A85" s="23" t="s">
        <v>120</v>
      </c>
    </row>
    <row r="86" ht="12.75">
      <c r="A86" s="23" t="s">
        <v>121</v>
      </c>
    </row>
    <row r="87" ht="12.75">
      <c r="A87" s="23" t="s">
        <v>122</v>
      </c>
    </row>
    <row r="88" ht="12.75">
      <c r="A88" s="23" t="s">
        <v>123</v>
      </c>
    </row>
    <row r="89" ht="12.75">
      <c r="A89" s="23" t="s">
        <v>124</v>
      </c>
    </row>
    <row r="90" ht="12.75">
      <c r="A90" s="23" t="s">
        <v>125</v>
      </c>
    </row>
    <row r="91" ht="12.75">
      <c r="A91" s="23" t="s">
        <v>126</v>
      </c>
    </row>
    <row r="92" ht="12.75">
      <c r="A92" s="23" t="s">
        <v>127</v>
      </c>
    </row>
    <row r="93" ht="12.75">
      <c r="A93" s="23" t="s">
        <v>128</v>
      </c>
    </row>
    <row r="94" ht="12.75">
      <c r="A94" s="23" t="s">
        <v>129</v>
      </c>
    </row>
    <row r="95" ht="12.75">
      <c r="A95" s="23" t="s">
        <v>130</v>
      </c>
    </row>
    <row r="96" ht="12.75">
      <c r="A96" s="23" t="s">
        <v>131</v>
      </c>
    </row>
    <row r="97" ht="12.75">
      <c r="A97" s="23" t="s">
        <v>132</v>
      </c>
    </row>
    <row r="98" ht="12.75">
      <c r="A98" s="23" t="s">
        <v>133</v>
      </c>
    </row>
    <row r="99" ht="12.75">
      <c r="A99" s="23" t="s">
        <v>134</v>
      </c>
    </row>
    <row r="100" ht="12.75">
      <c r="A100" s="23" t="s">
        <v>135</v>
      </c>
    </row>
    <row r="101" ht="12.75">
      <c r="A101" s="23" t="s">
        <v>136</v>
      </c>
    </row>
    <row r="102" ht="12.75">
      <c r="A102" s="23" t="s">
        <v>137</v>
      </c>
    </row>
    <row r="103" ht="12.75">
      <c r="A103" s="23" t="s">
        <v>138</v>
      </c>
    </row>
    <row r="104" ht="12.75">
      <c r="A104" s="23" t="s">
        <v>139</v>
      </c>
    </row>
    <row r="105" ht="12.75">
      <c r="A105" s="23" t="s">
        <v>140</v>
      </c>
    </row>
    <row r="106" ht="12.75">
      <c r="A106" s="23" t="s">
        <v>141</v>
      </c>
    </row>
    <row r="107" ht="12.75">
      <c r="A107" s="23" t="s">
        <v>142</v>
      </c>
    </row>
    <row r="108" ht="12.75">
      <c r="A108" s="23" t="s">
        <v>143</v>
      </c>
    </row>
    <row r="109" ht="12.75">
      <c r="A109" s="23" t="s">
        <v>144</v>
      </c>
    </row>
    <row r="110" ht="12.75">
      <c r="A110" s="23" t="s">
        <v>145</v>
      </c>
    </row>
    <row r="111" ht="12.75">
      <c r="A111" s="23" t="s">
        <v>146</v>
      </c>
    </row>
    <row r="112" ht="12.75">
      <c r="A112" s="23" t="s">
        <v>147</v>
      </c>
    </row>
    <row r="113" ht="12.75">
      <c r="A113" s="23" t="s">
        <v>148</v>
      </c>
    </row>
    <row r="114" ht="12.75">
      <c r="A114" s="23" t="s">
        <v>149</v>
      </c>
    </row>
    <row r="115" ht="12.75">
      <c r="A115" s="23" t="s">
        <v>150</v>
      </c>
    </row>
    <row r="116" ht="12.75">
      <c r="A116" s="23" t="s">
        <v>151</v>
      </c>
    </row>
    <row r="117" ht="12.75">
      <c r="A117" s="23" t="s">
        <v>152</v>
      </c>
    </row>
    <row r="118" ht="12.75">
      <c r="A118" s="23" t="s">
        <v>153</v>
      </c>
    </row>
    <row r="119" ht="12.75">
      <c r="A119" s="23" t="s">
        <v>154</v>
      </c>
    </row>
    <row r="120" ht="12.75">
      <c r="A120" s="23" t="s">
        <v>155</v>
      </c>
    </row>
    <row r="121" ht="12.75">
      <c r="A121" s="23" t="s">
        <v>156</v>
      </c>
    </row>
    <row r="122" ht="12.75">
      <c r="A122" s="23" t="s">
        <v>157</v>
      </c>
    </row>
    <row r="123" ht="12.75">
      <c r="A123" s="23" t="s">
        <v>158</v>
      </c>
    </row>
    <row r="124" ht="12.75">
      <c r="A124" s="23" t="s">
        <v>159</v>
      </c>
    </row>
    <row r="125" ht="12.75">
      <c r="A125" s="23" t="s">
        <v>160</v>
      </c>
    </row>
    <row r="126" ht="12.75">
      <c r="A126" s="23" t="s">
        <v>161</v>
      </c>
    </row>
    <row r="127" ht="12.75">
      <c r="A127" s="23" t="s">
        <v>162</v>
      </c>
    </row>
    <row r="128" ht="12.75">
      <c r="A128" s="23" t="s">
        <v>163</v>
      </c>
    </row>
    <row r="129" ht="12.75">
      <c r="A129" s="23" t="s">
        <v>164</v>
      </c>
    </row>
    <row r="130" ht="12.75">
      <c r="A130" s="23" t="s">
        <v>165</v>
      </c>
    </row>
    <row r="131" ht="12.75">
      <c r="A131" s="23" t="s">
        <v>166</v>
      </c>
    </row>
    <row r="132" ht="12.75">
      <c r="A132" s="23" t="s">
        <v>167</v>
      </c>
    </row>
    <row r="133" ht="12.75">
      <c r="A133" s="23" t="s">
        <v>168</v>
      </c>
    </row>
    <row r="134" ht="12.75">
      <c r="A134" s="23" t="s">
        <v>169</v>
      </c>
    </row>
    <row r="135" ht="12.75">
      <c r="A135" s="23" t="s">
        <v>170</v>
      </c>
    </row>
    <row r="136" ht="12.75">
      <c r="A136" s="23" t="s">
        <v>171</v>
      </c>
    </row>
    <row r="137" ht="12.75">
      <c r="A137" s="23" t="s">
        <v>172</v>
      </c>
    </row>
    <row r="138" ht="12.75">
      <c r="A138" s="23" t="s">
        <v>173</v>
      </c>
    </row>
    <row r="139" ht="12.75">
      <c r="A139" s="23" t="s">
        <v>174</v>
      </c>
    </row>
    <row r="140" ht="12.75">
      <c r="A140" s="23" t="s">
        <v>175</v>
      </c>
    </row>
    <row r="141" ht="12.75">
      <c r="A141" s="23" t="s">
        <v>176</v>
      </c>
    </row>
    <row r="142" ht="12.75">
      <c r="A142" s="23" t="s">
        <v>177</v>
      </c>
    </row>
    <row r="143" ht="12.75">
      <c r="A143" s="23" t="s">
        <v>178</v>
      </c>
    </row>
    <row r="144" ht="12.75">
      <c r="A144" s="23" t="s">
        <v>179</v>
      </c>
    </row>
    <row r="145" ht="12.75">
      <c r="A145" s="23" t="s">
        <v>180</v>
      </c>
    </row>
    <row r="146" ht="12.75">
      <c r="A146" s="23" t="s">
        <v>181</v>
      </c>
    </row>
    <row r="147" ht="12.75">
      <c r="A147" s="23" t="s">
        <v>182</v>
      </c>
    </row>
    <row r="148" ht="12.75">
      <c r="A148" s="23" t="s">
        <v>183</v>
      </c>
    </row>
    <row r="149" ht="12.75">
      <c r="A149" s="23" t="s">
        <v>184</v>
      </c>
    </row>
    <row r="150" ht="12.75">
      <c r="A150" s="23" t="s">
        <v>185</v>
      </c>
    </row>
    <row r="151" ht="12.75">
      <c r="A151" s="23" t="s">
        <v>186</v>
      </c>
    </row>
    <row r="152" ht="12.75">
      <c r="A152" s="23" t="s">
        <v>187</v>
      </c>
    </row>
    <row r="153" ht="12.75">
      <c r="A153" s="23" t="s">
        <v>188</v>
      </c>
    </row>
    <row r="154" ht="12.75">
      <c r="A154" s="23" t="s">
        <v>189</v>
      </c>
    </row>
    <row r="155" ht="12.75">
      <c r="A155" s="23" t="s">
        <v>190</v>
      </c>
    </row>
    <row r="156" ht="12.75">
      <c r="A156" s="23" t="s">
        <v>191</v>
      </c>
    </row>
    <row r="157" ht="12.75">
      <c r="A157" s="23" t="s">
        <v>192</v>
      </c>
    </row>
    <row r="158" ht="12.75">
      <c r="A158" s="23" t="s">
        <v>193</v>
      </c>
    </row>
    <row r="159" ht="12.75">
      <c r="A159" s="23" t="s">
        <v>194</v>
      </c>
    </row>
    <row r="160" ht="12.75">
      <c r="A160" s="23" t="s">
        <v>195</v>
      </c>
    </row>
    <row r="161" ht="12.75">
      <c r="A161" s="23" t="s">
        <v>196</v>
      </c>
    </row>
    <row r="162" ht="12.75">
      <c r="A162" s="23" t="s">
        <v>197</v>
      </c>
    </row>
    <row r="163" ht="12.75">
      <c r="A163" s="23" t="s">
        <v>198</v>
      </c>
    </row>
    <row r="164" ht="12.75">
      <c r="A164" s="23" t="s">
        <v>199</v>
      </c>
    </row>
    <row r="165" ht="12.75">
      <c r="A165" s="23" t="s">
        <v>200</v>
      </c>
    </row>
    <row r="166" ht="12.75">
      <c r="A166" s="23" t="s">
        <v>201</v>
      </c>
    </row>
    <row r="167" ht="12.75">
      <c r="A167" s="23" t="s">
        <v>202</v>
      </c>
    </row>
    <row r="168" ht="12.75">
      <c r="A168" s="23" t="s">
        <v>203</v>
      </c>
    </row>
    <row r="169" ht="12.75">
      <c r="A169" s="23" t="s">
        <v>204</v>
      </c>
    </row>
    <row r="170" ht="12.75">
      <c r="A170" s="23" t="s">
        <v>46</v>
      </c>
    </row>
    <row r="171" ht="12.75">
      <c r="A171" s="23" t="s">
        <v>86</v>
      </c>
    </row>
    <row r="172" ht="12.75">
      <c r="A172" s="23" t="s">
        <v>48</v>
      </c>
    </row>
    <row r="173" ht="12.75">
      <c r="A173" s="23" t="s">
        <v>49</v>
      </c>
    </row>
    <row r="174" ht="12.75">
      <c r="A174" s="23" t="s">
        <v>50</v>
      </c>
    </row>
    <row r="175" ht="12.75">
      <c r="A175" s="23" t="s">
        <v>205</v>
      </c>
    </row>
    <row r="176" ht="12.75">
      <c r="A176" s="23" t="s">
        <v>206</v>
      </c>
    </row>
    <row r="177" ht="12.75">
      <c r="A177" s="23" t="s">
        <v>207</v>
      </c>
    </row>
    <row r="178" ht="12.75">
      <c r="A178" s="23" t="s">
        <v>208</v>
      </c>
    </row>
    <row r="179" ht="12.75">
      <c r="A179" s="23" t="s">
        <v>209</v>
      </c>
    </row>
    <row r="180" ht="12.75">
      <c r="A180" s="23" t="s">
        <v>210</v>
      </c>
    </row>
    <row r="181" ht="12.75">
      <c r="A181" s="23" t="s">
        <v>211</v>
      </c>
    </row>
    <row r="182" ht="12.75">
      <c r="A182" s="23" t="s">
        <v>212</v>
      </c>
    </row>
    <row r="183" ht="12.75">
      <c r="A183" s="23" t="s">
        <v>213</v>
      </c>
    </row>
    <row r="184" ht="12.75">
      <c r="A184" s="23" t="s">
        <v>214</v>
      </c>
    </row>
    <row r="185" ht="12.75">
      <c r="A185" s="23" t="s">
        <v>215</v>
      </c>
    </row>
    <row r="186" ht="12.75">
      <c r="A186" s="23" t="s">
        <v>216</v>
      </c>
    </row>
    <row r="187" ht="12.75">
      <c r="A187" s="23" t="s">
        <v>217</v>
      </c>
    </row>
    <row r="188" ht="12.75">
      <c r="A188" s="23" t="s">
        <v>218</v>
      </c>
    </row>
    <row r="189" ht="12.75">
      <c r="A189" s="23" t="s">
        <v>219</v>
      </c>
    </row>
    <row r="190" ht="12.75">
      <c r="A190" s="23" t="s">
        <v>220</v>
      </c>
    </row>
    <row r="191" ht="12.75">
      <c r="A191" s="23" t="s">
        <v>221</v>
      </c>
    </row>
    <row r="192" ht="12.75">
      <c r="A192" s="23" t="s">
        <v>222</v>
      </c>
    </row>
    <row r="193" ht="12.75">
      <c r="A193" s="23" t="s">
        <v>223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Чиркова Наталья</dc:creator>
  <cp:keywords/>
  <dc:description/>
  <cp:lastModifiedBy>Чиркова Наталья</cp:lastModifiedBy>
  <dcterms:created xsi:type="dcterms:W3CDTF">2022-05-05T11:46:53Z</dcterms:created>
  <dcterms:modified xsi:type="dcterms:W3CDTF">2022-05-05T11:49:16Z</dcterms:modified>
  <cp:category/>
  <cp:version/>
  <cp:contentType/>
  <cp:contentStatus/>
</cp:coreProperties>
</file>